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E UNIT\2021 Budget\"/>
    </mc:Choice>
  </mc:AlternateContent>
  <bookViews>
    <workbookView xWindow="360" yWindow="390" windowWidth="18840" windowHeight="11250"/>
  </bookViews>
  <sheets>
    <sheet name="Statutory Body Budget" sheetId="1" r:id="rId1"/>
    <sheet name="Statutory Body HR" sheetId="2" r:id="rId2"/>
    <sheet name="Statutory Body KPI" sheetId="3" r:id="rId3"/>
  </sheets>
  <calcPr calcId="162913"/>
</workbook>
</file>

<file path=xl/calcChain.xml><?xml version="1.0" encoding="utf-8"?>
<calcChain xmlns="http://schemas.openxmlformats.org/spreadsheetml/2006/main">
  <c r="G125" i="2" l="1"/>
  <c r="F125" i="2"/>
  <c r="E125" i="2"/>
  <c r="D125" i="2"/>
  <c r="F120" i="2"/>
  <c r="D120" i="2"/>
  <c r="G119" i="2"/>
  <c r="E119" i="2"/>
  <c r="E54" i="2"/>
  <c r="G48" i="2"/>
  <c r="E48" i="2"/>
  <c r="B6" i="2"/>
  <c r="B127" i="2" s="1"/>
  <c r="F127" i="2" l="1"/>
  <c r="D127" i="2"/>
  <c r="E120" i="2"/>
  <c r="E127" i="2" s="1"/>
  <c r="G120" i="2"/>
  <c r="G127" i="2"/>
  <c r="G47" i="1"/>
  <c r="H47" i="1"/>
  <c r="E47" i="1"/>
  <c r="C47" i="1"/>
  <c r="B47" i="1"/>
  <c r="F47" i="1"/>
  <c r="F48" i="1"/>
  <c r="G48" i="1"/>
  <c r="H48" i="1"/>
  <c r="E48" i="1"/>
  <c r="C48" i="1"/>
  <c r="B48" i="1"/>
  <c r="H42" i="1"/>
  <c r="G42" i="1"/>
  <c r="F42" i="1"/>
  <c r="E42" i="1"/>
  <c r="C42" i="1"/>
  <c r="B42" i="1"/>
  <c r="G46" i="1"/>
  <c r="H46" i="1"/>
  <c r="F46" i="1"/>
  <c r="E46" i="1"/>
  <c r="C46" i="1"/>
  <c r="B46" i="1"/>
  <c r="G59" i="1"/>
  <c r="H59" i="1"/>
  <c r="F59" i="1"/>
  <c r="E59" i="1"/>
  <c r="C59" i="1"/>
  <c r="B59" i="1"/>
  <c r="G41" i="1"/>
  <c r="H41" i="1"/>
  <c r="F41" i="1"/>
  <c r="E41" i="1"/>
  <c r="F36" i="1"/>
  <c r="G36" i="1" s="1"/>
  <c r="H36" i="1" s="1"/>
  <c r="E36" i="1"/>
  <c r="C36" i="1"/>
  <c r="B36" i="1"/>
  <c r="C30" i="1"/>
  <c r="D30" i="1"/>
  <c r="H24" i="1"/>
  <c r="H30" i="1" s="1"/>
  <c r="G24" i="1"/>
  <c r="G30" i="1" s="1"/>
  <c r="F24" i="1"/>
  <c r="F30" i="1" s="1"/>
  <c r="E24" i="1"/>
  <c r="E30" i="1" s="1"/>
  <c r="C24" i="1"/>
  <c r="B24" i="1"/>
  <c r="B30" i="1" s="1"/>
  <c r="B19" i="1"/>
  <c r="D20" i="1"/>
  <c r="G20" i="1"/>
  <c r="H14" i="1"/>
  <c r="H20" i="1" s="1"/>
  <c r="G14" i="1"/>
  <c r="F14" i="1"/>
  <c r="F20" i="1" s="1"/>
  <c r="E14" i="1"/>
  <c r="C14" i="1"/>
  <c r="C20" i="1" s="1"/>
  <c r="B14" i="1"/>
  <c r="E17" i="1"/>
  <c r="E20" i="1" s="1"/>
  <c r="B20" i="1" l="1"/>
  <c r="G13" i="3"/>
  <c r="H13" i="3"/>
  <c r="I13" i="3"/>
  <c r="J13" i="3"/>
  <c r="K13" i="3"/>
  <c r="L13" i="3"/>
  <c r="F13" i="3"/>
  <c r="L20" i="3"/>
  <c r="K20" i="3"/>
  <c r="J20" i="3"/>
  <c r="I20" i="3"/>
  <c r="H20" i="3"/>
  <c r="G20" i="3"/>
  <c r="F20" i="3"/>
  <c r="H61" i="1"/>
  <c r="G61" i="1"/>
  <c r="F61" i="1"/>
  <c r="E61" i="1"/>
  <c r="D61" i="1"/>
  <c r="C61" i="1"/>
  <c r="B61" i="1"/>
  <c r="C62" i="1" l="1"/>
  <c r="G12" i="3" s="1"/>
  <c r="G14" i="3" s="1"/>
  <c r="G62" i="1"/>
  <c r="K12" i="3" s="1"/>
  <c r="K14" i="3" s="1"/>
  <c r="B62" i="1"/>
  <c r="F12" i="3" s="1"/>
  <c r="F14" i="3" s="1"/>
  <c r="F62" i="1"/>
  <c r="J12" i="3" s="1"/>
  <c r="J14" i="3" s="1"/>
  <c r="D62" i="1"/>
  <c r="H62" i="1"/>
  <c r="E62" i="1"/>
  <c r="C63" i="1" l="1"/>
  <c r="C65" i="1" s="1"/>
  <c r="B63" i="1"/>
  <c r="B65" i="1" s="1"/>
  <c r="G63" i="1"/>
  <c r="G65" i="1" s="1"/>
  <c r="E63" i="1"/>
  <c r="E65" i="1" s="1"/>
  <c r="I12" i="3"/>
  <c r="I14" i="3" s="1"/>
  <c r="D63" i="1"/>
  <c r="D65" i="1" s="1"/>
  <c r="H12" i="3"/>
  <c r="H14" i="3" s="1"/>
  <c r="F63" i="1"/>
  <c r="F65" i="1" s="1"/>
  <c r="H63" i="1"/>
  <c r="H65" i="1" s="1"/>
  <c r="L12" i="3"/>
  <c r="L14" i="3" s="1"/>
</calcChain>
</file>

<file path=xl/sharedStrings.xml><?xml version="1.0" encoding="utf-8"?>
<sst xmlns="http://schemas.openxmlformats.org/spreadsheetml/2006/main" count="256" uniqueCount="242">
  <si>
    <t xml:space="preserve">STATUTORY BODY INCOME AND EXPENDITURE DETAILED SHEET </t>
  </si>
  <si>
    <t>Unaudited Actuals</t>
  </si>
  <si>
    <t xml:space="preserve">Approved Budget </t>
  </si>
  <si>
    <t xml:space="preserve">Revised Budget </t>
  </si>
  <si>
    <t>Forecast Outturn</t>
  </si>
  <si>
    <t xml:space="preserve">Estimate </t>
  </si>
  <si>
    <t>Forward Estimate</t>
  </si>
  <si>
    <t>Description</t>
  </si>
  <si>
    <t xml:space="preserve">Outturn </t>
  </si>
  <si>
    <t>Interest Income</t>
  </si>
  <si>
    <t xml:space="preserve">TOTAL INCOME </t>
  </si>
  <si>
    <t>Salaries</t>
  </si>
  <si>
    <t>Wages</t>
  </si>
  <si>
    <t>Allowances</t>
  </si>
  <si>
    <t>Pension and Gratuities</t>
  </si>
  <si>
    <t>Directors' fees and expenses</t>
  </si>
  <si>
    <t>Local Travel and Subsistence</t>
  </si>
  <si>
    <t>International Travel and Subsistence</t>
  </si>
  <si>
    <t>Utilities</t>
  </si>
  <si>
    <t>Communications Expenses</t>
  </si>
  <si>
    <t>Office Expenses</t>
  </si>
  <si>
    <t>Maintenance Expenses</t>
  </si>
  <si>
    <t>Subscriptions, Periodicals, Books, etc.</t>
  </si>
  <si>
    <t>Other Supplies, Materials and Equipment</t>
  </si>
  <si>
    <t>Uniforms &amp; Protective Clothing</t>
  </si>
  <si>
    <t>Professional and Consultancy Services</t>
  </si>
  <si>
    <t>Computer License Software and Hardware Maintenance</t>
  </si>
  <si>
    <t>Insurance</t>
  </si>
  <si>
    <t>Hosting and Entertainment</t>
  </si>
  <si>
    <t>Training</t>
  </si>
  <si>
    <t>Advertising and Promotions</t>
  </si>
  <si>
    <t>Subscriptions and Contributions</t>
  </si>
  <si>
    <t>Auditing and Accounting</t>
  </si>
  <si>
    <t>Board Expenses</t>
  </si>
  <si>
    <t>Depreciation and Amortization</t>
  </si>
  <si>
    <t>Bank Charges</t>
  </si>
  <si>
    <t>Other Operating Expenses</t>
  </si>
  <si>
    <t>Operating Costs</t>
  </si>
  <si>
    <t>Total Expenditure</t>
  </si>
  <si>
    <t>Operating Deficit/Surplus before Capital Projects</t>
  </si>
  <si>
    <t>Capital Projects</t>
  </si>
  <si>
    <t>Operating Deficit /Surplus after Capital Projects</t>
  </si>
  <si>
    <t>GOVERNMENT OF THE ANGUILLA</t>
  </si>
  <si>
    <t>Subvention from GOA</t>
  </si>
  <si>
    <t>2020</t>
  </si>
  <si>
    <t>Social Security Contributions</t>
  </si>
  <si>
    <t xml:space="preserve">Human </t>
  </si>
  <si>
    <t>Payroll Cost</t>
  </si>
  <si>
    <t>Resources</t>
  </si>
  <si>
    <t>Estimate</t>
  </si>
  <si>
    <t>Salary Staff</t>
  </si>
  <si>
    <t xml:space="preserve">Temporary Cleaner </t>
  </si>
  <si>
    <t>Waged Staff</t>
  </si>
  <si>
    <t>GOVERNMENT OF ANGUILLA</t>
  </si>
  <si>
    <t>[NAME OF STATUTORY BODY]</t>
  </si>
  <si>
    <t>[LIST NAME OF POSITIONS]</t>
  </si>
  <si>
    <t>STATUTORY BODY SUMMARY</t>
  </si>
  <si>
    <t>MISSION:</t>
  </si>
  <si>
    <t>STRATEGIC PRIORITIES:</t>
  </si>
  <si>
    <t>Programme/Department</t>
  </si>
  <si>
    <t>Operating Expenditure</t>
  </si>
  <si>
    <t xml:space="preserve">Capital Expenditure </t>
  </si>
  <si>
    <t>TOTAL AGENCY BUDGET CEILING</t>
  </si>
  <si>
    <t>STATUTORY BODY STAFFING RESOURCES – Actual Number of Staff by Category</t>
  </si>
  <si>
    <t>Executive/Managerial</t>
  </si>
  <si>
    <t>Technical/Front Line Services</t>
  </si>
  <si>
    <t>Administrative Support</t>
  </si>
  <si>
    <t>Wages Staff</t>
  </si>
  <si>
    <t xml:space="preserve">TOTAL AGENCY STAFFING </t>
  </si>
  <si>
    <t>PROGRAMME PERFORMANCE INFORMATION</t>
  </si>
  <si>
    <t>KEY PERFORMANCE INDICATORS</t>
  </si>
  <si>
    <t xml:space="preserve">Output Indicators (the quantity of output or services delivered by the programme) </t>
  </si>
  <si>
    <t>Outcome Indicators (the planned or achieved outcomes or impacts of the programme and/or effectiveness in achieving programme objectives)</t>
  </si>
  <si>
    <t>[INSERT BRIEF MISSION STATEMENT]</t>
  </si>
  <si>
    <t>[Insert list of strategic proiorities]</t>
  </si>
  <si>
    <t xml:space="preserve"> EXPENDITURE - BY PROGRAMME</t>
  </si>
  <si>
    <t>2020 Approved Budget</t>
  </si>
  <si>
    <t xml:space="preserve">2020 Revised Budget </t>
  </si>
  <si>
    <t>2020 Forecast Outturn</t>
  </si>
  <si>
    <t>2021 Budget Estimates</t>
  </si>
  <si>
    <t>2022 Forward Estimates</t>
  </si>
  <si>
    <t>2023 Forward Estimates</t>
  </si>
  <si>
    <t>[INSERT PROGRAMME STRATEGY]</t>
  </si>
  <si>
    <t>[INSERT ACHEIVEMENT]</t>
  </si>
  <si>
    <t>KEY PROGRAMME STRATEGIES 2021 (Aimed at improving programme performance)</t>
  </si>
  <si>
    <t>[INSERT KEY STRATEGY 1]</t>
  </si>
  <si>
    <t>[INSERT KEY STRATEGY 2]</t>
  </si>
  <si>
    <t>[INSERT KEY STRATEGY 3]</t>
  </si>
  <si>
    <t>KPI 1 [INSERT DETAILS HERE]</t>
  </si>
  <si>
    <t>KPI 2 [INSERT DETAILS HERE]</t>
  </si>
  <si>
    <t>KPI 3 [INSERT DETAILS HERE]</t>
  </si>
  <si>
    <t>KPI 4 [INSERT DETAILS HERE]</t>
  </si>
  <si>
    <t>2019 Actual</t>
  </si>
  <si>
    <t>2020 Planned</t>
  </si>
  <si>
    <t>2020 Revised</t>
  </si>
  <si>
    <t>2020 Outturn</t>
  </si>
  <si>
    <t>2021 Estimate</t>
  </si>
  <si>
    <t>2022 Estimate</t>
  </si>
  <si>
    <t>2023 Estimate</t>
  </si>
  <si>
    <t>[INSERT INDICIATOR HERE]</t>
  </si>
  <si>
    <t>Programme and Performance Indicators for 2021</t>
  </si>
  <si>
    <t>KEY PROGRAMME STRATEGIES FOR 2021</t>
  </si>
  <si>
    <t>ACHIEVEMENTS/PROGRESS IN 2020</t>
  </si>
  <si>
    <t>Estimate of Human Resources for 2021</t>
  </si>
  <si>
    <t>2021</t>
  </si>
  <si>
    <t>Grade</t>
  </si>
  <si>
    <t>Operational Fees</t>
  </si>
  <si>
    <t>Sale of Goods</t>
  </si>
  <si>
    <t>Rental Income</t>
  </si>
  <si>
    <t>Donations and Other Grants</t>
  </si>
  <si>
    <t>Dues and Charges</t>
  </si>
  <si>
    <t>Other Operational Income</t>
  </si>
  <si>
    <t>Transactions between Statutory Bodies</t>
  </si>
  <si>
    <t>Staff Medical Insurance</t>
  </si>
  <si>
    <t>Rewards &amp; Incentives</t>
  </si>
  <si>
    <t>Total Personnel Costs</t>
  </si>
  <si>
    <t>Bad Debt write off/ increase provisions</t>
  </si>
  <si>
    <t>Expenditure paid to other Government Entities</t>
  </si>
  <si>
    <t>Sundry Expenses</t>
  </si>
  <si>
    <t>Rental of Property</t>
  </si>
  <si>
    <t>Rental of Equipment</t>
  </si>
  <si>
    <t>Water Production Costs (WCA)</t>
  </si>
  <si>
    <t>Pension &amp; Long Term Benefits (ASSB &amp; PSPF )</t>
  </si>
  <si>
    <t>Short Term Benefits (ASSB)</t>
  </si>
  <si>
    <t>Pension and Benefit Contributions (ASSB &amp; PSPF)</t>
  </si>
  <si>
    <t>Government Transfer (Statutory transfers of Surpluses)</t>
  </si>
  <si>
    <t>Net Surplus/Deficit after GoA Transfer</t>
  </si>
  <si>
    <t>Other</t>
  </si>
  <si>
    <t>Health Authority of Anguilla 2021</t>
  </si>
  <si>
    <t>Health Authority of Anguilla</t>
  </si>
  <si>
    <t>Chief Executive Officer</t>
  </si>
  <si>
    <t>Director Nursing Services</t>
  </si>
  <si>
    <t>Director of Human Resources</t>
  </si>
  <si>
    <t>Director Support Services</t>
  </si>
  <si>
    <t>Director Medical Services</t>
  </si>
  <si>
    <t>Director of Facilities</t>
  </si>
  <si>
    <t>Health Care Relations Officer</t>
  </si>
  <si>
    <t>Personal Asst to CEO</t>
  </si>
  <si>
    <t>Executive Secretary</t>
  </si>
  <si>
    <t>Messenger</t>
  </si>
  <si>
    <t>Receptionist</t>
  </si>
  <si>
    <t>Night Receptionist</t>
  </si>
  <si>
    <t>Quality Administrative Officer</t>
  </si>
  <si>
    <t>Infection Control &amp; Surveillance Officer</t>
  </si>
  <si>
    <t>Coordinator Community Nursing</t>
  </si>
  <si>
    <t>Nurse Informatics Officer</t>
  </si>
  <si>
    <t>Human Resource Officer</t>
  </si>
  <si>
    <t>Human Resource Assistant</t>
  </si>
  <si>
    <t>Accountant</t>
  </si>
  <si>
    <t xml:space="preserve">Accounts Officer </t>
  </si>
  <si>
    <t xml:space="preserve">Income and Payroll Audit </t>
  </si>
  <si>
    <t>Payroll Officer</t>
  </si>
  <si>
    <t xml:space="preserve">Accounts Payable Officer </t>
  </si>
  <si>
    <t>Claims Officer</t>
  </si>
  <si>
    <t>Claims Assistant</t>
  </si>
  <si>
    <t xml:space="preserve">Accounts Receivable Officer </t>
  </si>
  <si>
    <t>Cashier</t>
  </si>
  <si>
    <t>Billing Clerk</t>
  </si>
  <si>
    <t>Stores Supervisor</t>
  </si>
  <si>
    <t>Stores Assistant</t>
  </si>
  <si>
    <t>Receiver</t>
  </si>
  <si>
    <t>Biomedical Technician</t>
  </si>
  <si>
    <t>Handy Man</t>
  </si>
  <si>
    <t>Maintenance Officer</t>
  </si>
  <si>
    <t>Preventative Maintenance Officer</t>
  </si>
  <si>
    <t>Security Guard</t>
  </si>
  <si>
    <t>System Administrator</t>
  </si>
  <si>
    <t>System Technician</t>
  </si>
  <si>
    <t>Health District Manager</t>
  </si>
  <si>
    <t>Community Nurse II</t>
  </si>
  <si>
    <t>Community Nurse I</t>
  </si>
  <si>
    <t>Community Health Aide</t>
  </si>
  <si>
    <t>Clinic Aide</t>
  </si>
  <si>
    <t xml:space="preserve">Cleaner </t>
  </si>
  <si>
    <t>Partime Cleaner</t>
  </si>
  <si>
    <t>A&amp;E Manager</t>
  </si>
  <si>
    <t>Ward Manager</t>
  </si>
  <si>
    <t>Operating Theatre Manager</t>
  </si>
  <si>
    <t>Senior Accident &amp; Emergency Nurse</t>
  </si>
  <si>
    <t>Registered Nurse</t>
  </si>
  <si>
    <t>Registered Nurse/Midwife</t>
  </si>
  <si>
    <t>Registered Nursing Assistant</t>
  </si>
  <si>
    <t>Nurses Aide</t>
  </si>
  <si>
    <t>Peri-Operative Nurse</t>
  </si>
  <si>
    <t>Nurse Anesthesist</t>
  </si>
  <si>
    <t>Nephrology Manager</t>
  </si>
  <si>
    <t>Nephrology Nurse</t>
  </si>
  <si>
    <t>Manager of MGSCH</t>
  </si>
  <si>
    <t>Team Leader</t>
  </si>
  <si>
    <t>Care Assistant</t>
  </si>
  <si>
    <t>Coordinator Mental Health</t>
  </si>
  <si>
    <t>Mental Health Nurse</t>
  </si>
  <si>
    <t>Community Mental Health Nurse</t>
  </si>
  <si>
    <t>Psychiatric Health Aide</t>
  </si>
  <si>
    <t>Security Guard/Orderly</t>
  </si>
  <si>
    <t>Radiologist</t>
  </si>
  <si>
    <t>Radiographer</t>
  </si>
  <si>
    <t>Clerical Officer/Receptionist</t>
  </si>
  <si>
    <t>Coordinator Laboratory Services</t>
  </si>
  <si>
    <t>Laboratory Assistant</t>
  </si>
  <si>
    <t>Medical Technologist</t>
  </si>
  <si>
    <t>Phlebotomist</t>
  </si>
  <si>
    <t>Coordinator EMS/Paramedic</t>
  </si>
  <si>
    <t>EMT/Paramedic</t>
  </si>
  <si>
    <t>Emergency Medical Technician</t>
  </si>
  <si>
    <t>General Practitioner</t>
  </si>
  <si>
    <t>General Practitioner/Community Doctor</t>
  </si>
  <si>
    <t>Family Medicine (Specialist)/ Gerontologist</t>
  </si>
  <si>
    <t>Internist</t>
  </si>
  <si>
    <t>General Surgeon</t>
  </si>
  <si>
    <t>Pediatrician</t>
  </si>
  <si>
    <t>OBGYN</t>
  </si>
  <si>
    <t>Anesthesiologist</t>
  </si>
  <si>
    <t>WARD CLERK</t>
  </si>
  <si>
    <t>Dental Assistant</t>
  </si>
  <si>
    <t>Dental Surgeon</t>
  </si>
  <si>
    <t>Dental Therapist</t>
  </si>
  <si>
    <t>Senior Dental Assistant</t>
  </si>
  <si>
    <t>Senior Dental Surgeon</t>
  </si>
  <si>
    <t>Senior Dental Therapist</t>
  </si>
  <si>
    <t>Pharmacist</t>
  </si>
  <si>
    <t>Pharmacy Assistant</t>
  </si>
  <si>
    <t>Coordinator Pharmaceutical Services</t>
  </si>
  <si>
    <t>PHYSIOTHERAPIST</t>
  </si>
  <si>
    <t>PHYSIOTHERAPIST ASSISTANT</t>
  </si>
  <si>
    <t>Coordinator Health Information</t>
  </si>
  <si>
    <t>Health Information Medical Records Assistant</t>
  </si>
  <si>
    <t>Senior Health Educator</t>
  </si>
  <si>
    <t>Health Educator</t>
  </si>
  <si>
    <t>Graphic/Audio/Visual Technician</t>
  </si>
  <si>
    <t>Housekeeping Supervisor</t>
  </si>
  <si>
    <t>Housekeeper</t>
  </si>
  <si>
    <t>Laundress</t>
  </si>
  <si>
    <t>Nutritionist</t>
  </si>
  <si>
    <t>Cook</t>
  </si>
  <si>
    <t>Food Service Worker</t>
  </si>
  <si>
    <t>Senior Orderly</t>
  </si>
  <si>
    <t>Orderly</t>
  </si>
  <si>
    <t>Supernumery</t>
  </si>
  <si>
    <t>Hourly workers</t>
  </si>
  <si>
    <t>N/A</t>
  </si>
  <si>
    <t>Chief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</si>
</sst>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_);_(@_)"/>
    <numFmt numFmtId="169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3" fillId="0" borderId="0" xfId="0" quotePrefix="1" applyFont="1" applyBorder="1" applyAlignment="1"/>
    <xf numFmtId="0" fontId="4" fillId="0" borderId="0" xfId="3"/>
    <xf numFmtId="0" fontId="6" fillId="0" borderId="13" xfId="4" applyFont="1" applyBorder="1"/>
    <xf numFmtId="167" fontId="6" fillId="0" borderId="14" xfId="1" applyNumberFormat="1" applyFont="1" applyFill="1" applyBorder="1" applyProtection="1"/>
    <xf numFmtId="167" fontId="6" fillId="0" borderId="9" xfId="1" applyNumberFormat="1" applyFont="1" applyFill="1" applyBorder="1" applyProtection="1"/>
    <xf numFmtId="0" fontId="6" fillId="0" borderId="13" xfId="5" applyFont="1" applyBorder="1"/>
    <xf numFmtId="0" fontId="7" fillId="0" borderId="0" xfId="3" applyFont="1"/>
    <xf numFmtId="0" fontId="6" fillId="0" borderId="13" xfId="5" applyFont="1" applyBorder="1" applyAlignment="1" applyProtection="1">
      <alignment wrapText="1"/>
    </xf>
    <xf numFmtId="0" fontId="6" fillId="0" borderId="13" xfId="4" applyFont="1" applyBorder="1" applyAlignment="1" applyProtection="1">
      <alignment wrapText="1"/>
    </xf>
    <xf numFmtId="167" fontId="3" fillId="2" borderId="16" xfId="1" applyNumberFormat="1" applyFont="1" applyFill="1" applyBorder="1" applyProtection="1"/>
    <xf numFmtId="167" fontId="4" fillId="0" borderId="0" xfId="1" applyNumberFormat="1" applyFont="1"/>
    <xf numFmtId="167" fontId="3" fillId="0" borderId="21" xfId="1" applyNumberFormat="1" applyFont="1" applyFill="1" applyBorder="1" applyAlignment="1" applyProtection="1">
      <alignment wrapText="1"/>
    </xf>
    <xf numFmtId="167" fontId="3" fillId="0" borderId="16" xfId="1" applyNumberFormat="1" applyFont="1" applyFill="1" applyBorder="1" applyProtection="1"/>
    <xf numFmtId="167" fontId="3" fillId="0" borderId="17" xfId="1" applyNumberFormat="1" applyFont="1" applyFill="1" applyBorder="1" applyProtection="1"/>
    <xf numFmtId="0" fontId="8" fillId="2" borderId="1" xfId="6" quotePrefix="1" applyFont="1" applyFill="1" applyBorder="1" applyAlignment="1">
      <alignment horizontal="left" vertical="center"/>
    </xf>
    <xf numFmtId="0" fontId="8" fillId="2" borderId="22" xfId="6" applyFont="1" applyFill="1" applyBorder="1" applyAlignment="1">
      <alignment vertical="center"/>
    </xf>
    <xf numFmtId="0" fontId="8" fillId="2" borderId="7" xfId="6" quotePrefix="1" applyFont="1" applyFill="1" applyBorder="1" applyAlignment="1">
      <alignment horizontal="left" vertical="center"/>
    </xf>
    <xf numFmtId="0" fontId="8" fillId="3" borderId="14" xfId="6" applyFont="1" applyFill="1" applyBorder="1" applyAlignment="1">
      <alignment vertical="center"/>
    </xf>
    <xf numFmtId="164" fontId="8" fillId="3" borderId="8" xfId="6" applyNumberFormat="1" applyFont="1" applyFill="1" applyBorder="1" applyAlignment="1">
      <alignment horizontal="center"/>
    </xf>
    <xf numFmtId="0" fontId="8" fillId="2" borderId="10" xfId="6" applyFont="1" applyFill="1" applyBorder="1" applyAlignment="1">
      <alignment horizontal="left" vertical="center"/>
    </xf>
    <xf numFmtId="0" fontId="8" fillId="2" borderId="11" xfId="6" applyFont="1" applyFill="1" applyBorder="1" applyAlignment="1">
      <alignment vertical="center"/>
    </xf>
    <xf numFmtId="164" fontId="8" fillId="3" borderId="11" xfId="6" applyNumberFormat="1" applyFont="1" applyFill="1" applyBorder="1" applyAlignment="1">
      <alignment horizontal="center"/>
    </xf>
    <xf numFmtId="0" fontId="4" fillId="0" borderId="7" xfId="6" applyFont="1" applyFill="1" applyBorder="1" applyAlignment="1">
      <alignment horizontal="left"/>
    </xf>
    <xf numFmtId="0" fontId="4" fillId="0" borderId="14" xfId="6" applyNumberFormat="1" applyFont="1" applyFill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0" fontId="4" fillId="0" borderId="14" xfId="8" applyFont="1" applyBorder="1" applyAlignment="1">
      <alignment horizontal="center"/>
    </xf>
    <xf numFmtId="0" fontId="4" fillId="0" borderId="14" xfId="8" applyFont="1" applyFill="1" applyBorder="1" applyAlignment="1">
      <alignment horizontal="center"/>
    </xf>
    <xf numFmtId="0" fontId="8" fillId="4" borderId="26" xfId="6" applyFont="1" applyFill="1" applyBorder="1" applyAlignment="1">
      <alignment horizontal="left" vertical="center"/>
    </xf>
    <xf numFmtId="0" fontId="8" fillId="4" borderId="19" xfId="6" applyNumberFormat="1" applyFont="1" applyFill="1" applyBorder="1" applyAlignment="1">
      <alignment horizontal="center" vertical="center"/>
    </xf>
    <xf numFmtId="0" fontId="8" fillId="2" borderId="27" xfId="6" applyFont="1" applyFill="1" applyBorder="1" applyAlignment="1">
      <alignment horizontal="left" vertical="center"/>
    </xf>
    <xf numFmtId="0" fontId="8" fillId="2" borderId="28" xfId="6" applyNumberFormat="1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left" vertical="center"/>
    </xf>
    <xf numFmtId="0" fontId="8" fillId="0" borderId="0" xfId="6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quotePrefix="1" applyFont="1" applyBorder="1" applyAlignment="1">
      <alignment horizontal="left"/>
    </xf>
    <xf numFmtId="49" fontId="9" fillId="0" borderId="0" xfId="0" applyNumberFormat="1" applyFont="1" applyBorder="1"/>
    <xf numFmtId="49" fontId="2" fillId="0" borderId="0" xfId="0" applyNumberFormat="1" applyFont="1" applyBorder="1"/>
    <xf numFmtId="49" fontId="8" fillId="0" borderId="0" xfId="0" applyNumberFormat="1" applyFont="1" applyBorder="1"/>
    <xf numFmtId="0" fontId="4" fillId="0" borderId="0" xfId="0" applyFont="1" applyBorder="1"/>
    <xf numFmtId="169" fontId="4" fillId="0" borderId="0" xfId="2" applyNumberFormat="1" applyFont="1" applyFill="1" applyBorder="1" applyAlignment="1" applyProtection="1">
      <alignment vertical="top" wrapText="1"/>
      <protection locked="0"/>
    </xf>
    <xf numFmtId="169" fontId="4" fillId="0" borderId="9" xfId="2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0" xfId="0" applyFont="1" applyFill="1" applyBorder="1"/>
    <xf numFmtId="0" fontId="4" fillId="0" borderId="9" xfId="0" applyFont="1" applyFill="1" applyBorder="1"/>
    <xf numFmtId="10" fontId="4" fillId="0" borderId="0" xfId="0" applyNumberFormat="1" applyFont="1" applyFill="1" applyBorder="1" applyAlignment="1" applyProtection="1">
      <alignment vertical="top" wrapText="1"/>
    </xf>
    <xf numFmtId="10" fontId="4" fillId="0" borderId="9" xfId="0" applyNumberFormat="1" applyFont="1" applyFill="1" applyBorder="1" applyAlignment="1" applyProtection="1">
      <alignment vertical="top" wrapText="1"/>
    </xf>
    <xf numFmtId="10" fontId="4" fillId="0" borderId="0" xfId="0" applyNumberFormat="1" applyFont="1" applyFill="1" applyBorder="1" applyAlignment="1" applyProtection="1">
      <alignment vertical="top" wrapText="1"/>
      <protection locked="0"/>
    </xf>
    <xf numFmtId="10" fontId="4" fillId="0" borderId="9" xfId="0" applyNumberFormat="1" applyFont="1" applyFill="1" applyBorder="1" applyAlignment="1" applyProtection="1">
      <alignment vertical="top" wrapText="1"/>
      <protection locked="0"/>
    </xf>
    <xf numFmtId="10" fontId="4" fillId="0" borderId="45" xfId="0" applyNumberFormat="1" applyFont="1" applyFill="1" applyBorder="1" applyAlignment="1">
      <alignment vertical="top" wrapText="1"/>
    </xf>
    <xf numFmtId="10" fontId="4" fillId="0" borderId="45" xfId="0" applyNumberFormat="1" applyFont="1" applyFill="1" applyBorder="1" applyAlignment="1">
      <alignment vertical="top"/>
    </xf>
    <xf numFmtId="10" fontId="4" fillId="0" borderId="12" xfId="0" applyNumberFormat="1" applyFont="1" applyFill="1" applyBorder="1" applyAlignment="1">
      <alignment vertical="top"/>
    </xf>
    <xf numFmtId="0" fontId="4" fillId="0" borderId="0" xfId="0" applyFont="1"/>
    <xf numFmtId="0" fontId="5" fillId="2" borderId="2" xfId="3" applyFont="1" applyFill="1" applyBorder="1" applyAlignment="1" applyProtection="1">
      <alignment horizontal="center"/>
    </xf>
    <xf numFmtId="0" fontId="5" fillId="2" borderId="2" xfId="3" quotePrefix="1" applyNumberFormat="1" applyFont="1" applyFill="1" applyBorder="1" applyAlignment="1" applyProtection="1">
      <alignment horizontal="center"/>
    </xf>
    <xf numFmtId="0" fontId="5" fillId="2" borderId="6" xfId="3" applyFont="1" applyFill="1" applyBorder="1" applyAlignment="1" applyProtection="1">
      <alignment horizontal="center"/>
    </xf>
    <xf numFmtId="0" fontId="3" fillId="2" borderId="15" xfId="4" applyFont="1" applyFill="1" applyBorder="1" applyAlignment="1" applyProtection="1">
      <alignment wrapText="1"/>
    </xf>
    <xf numFmtId="0" fontId="3" fillId="2" borderId="18" xfId="4" applyFont="1" applyFill="1" applyBorder="1" applyAlignment="1" applyProtection="1">
      <alignment wrapText="1"/>
    </xf>
    <xf numFmtId="167" fontId="3" fillId="2" borderId="19" xfId="1" applyNumberFormat="1" applyFont="1" applyFill="1" applyBorder="1" applyProtection="1"/>
    <xf numFmtId="167" fontId="3" fillId="2" borderId="20" xfId="1" applyNumberFormat="1" applyFont="1" applyFill="1" applyBorder="1" applyProtection="1"/>
    <xf numFmtId="0" fontId="3" fillId="6" borderId="15" xfId="4" applyFont="1" applyFill="1" applyBorder="1" applyAlignment="1" applyProtection="1">
      <alignment wrapText="1"/>
    </xf>
    <xf numFmtId="167" fontId="3" fillId="6" borderId="16" xfId="1" applyNumberFormat="1" applyFont="1" applyFill="1" applyBorder="1" applyProtection="1"/>
    <xf numFmtId="167" fontId="3" fillId="6" borderId="17" xfId="1" applyNumberFormat="1" applyFont="1" applyFill="1" applyBorder="1" applyProtection="1"/>
    <xf numFmtId="167" fontId="3" fillId="7" borderId="21" xfId="1" applyNumberFormat="1" applyFont="1" applyFill="1" applyBorder="1" applyAlignment="1" applyProtection="1">
      <alignment wrapText="1"/>
    </xf>
    <xf numFmtId="167" fontId="3" fillId="7" borderId="16" xfId="1" applyNumberFormat="1" applyFont="1" applyFill="1" applyBorder="1" applyProtection="1"/>
    <xf numFmtId="167" fontId="3" fillId="7" borderId="17" xfId="1" applyNumberFormat="1" applyFont="1" applyFill="1" applyBorder="1" applyProtection="1"/>
    <xf numFmtId="167" fontId="3" fillId="7" borderId="15" xfId="1" applyNumberFormat="1" applyFont="1" applyFill="1" applyBorder="1" applyAlignment="1" applyProtection="1">
      <alignment wrapText="1"/>
    </xf>
    <xf numFmtId="169" fontId="4" fillId="0" borderId="36" xfId="2" applyNumberFormat="1" applyFont="1" applyFill="1" applyBorder="1" applyAlignment="1" applyProtection="1">
      <alignment vertical="top" wrapText="1"/>
      <protection locked="0"/>
    </xf>
    <xf numFmtId="0" fontId="8" fillId="4" borderId="37" xfId="0" applyFont="1" applyFill="1" applyBorder="1" applyAlignment="1" applyProtection="1">
      <alignment horizontal="center" vertical="top" wrapText="1"/>
    </xf>
    <xf numFmtId="0" fontId="8" fillId="4" borderId="38" xfId="0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 applyProtection="1">
      <alignment horizontal="center" vertical="top" wrapText="1"/>
    </xf>
    <xf numFmtId="0" fontId="8" fillId="4" borderId="32" xfId="0" applyFont="1" applyFill="1" applyBorder="1" applyAlignment="1" applyProtection="1">
      <alignment horizontal="center" vertical="top" wrapText="1"/>
    </xf>
    <xf numFmtId="0" fontId="8" fillId="4" borderId="33" xfId="0" applyFont="1" applyFill="1" applyBorder="1" applyAlignment="1" applyProtection="1">
      <alignment horizontal="center" vertical="top" wrapText="1"/>
    </xf>
    <xf numFmtId="169" fontId="8" fillId="5" borderId="0" xfId="2" applyNumberFormat="1" applyFont="1" applyFill="1" applyBorder="1" applyAlignment="1" applyProtection="1">
      <alignment vertical="top" wrapText="1"/>
    </xf>
    <xf numFmtId="169" fontId="8" fillId="5" borderId="9" xfId="2" applyNumberFormat="1" applyFont="1" applyFill="1" applyBorder="1" applyAlignment="1" applyProtection="1">
      <alignment vertical="top" wrapText="1"/>
    </xf>
    <xf numFmtId="0" fontId="4" fillId="5" borderId="32" xfId="0" applyFont="1" applyFill="1" applyBorder="1" applyAlignment="1" applyProtection="1">
      <alignment vertical="top" wrapText="1"/>
    </xf>
    <xf numFmtId="0" fontId="4" fillId="5" borderId="33" xfId="0" applyFont="1" applyFill="1" applyBorder="1" applyAlignment="1" applyProtection="1">
      <alignment vertical="top" wrapText="1"/>
    </xf>
    <xf numFmtId="0" fontId="4" fillId="0" borderId="49" xfId="6" applyFont="1" applyFill="1" applyBorder="1"/>
    <xf numFmtId="0" fontId="8" fillId="4" borderId="50" xfId="6" applyFont="1" applyFill="1" applyBorder="1" applyAlignment="1">
      <alignment vertical="center"/>
    </xf>
    <xf numFmtId="0" fontId="4" fillId="0" borderId="49" xfId="8" applyFont="1" applyBorder="1"/>
    <xf numFmtId="0" fontId="8" fillId="4" borderId="50" xfId="6" applyFont="1" applyFill="1" applyBorder="1" applyAlignment="1">
      <alignment horizontal="left" vertical="center"/>
    </xf>
    <xf numFmtId="0" fontId="8" fillId="2" borderId="51" xfId="6" applyFont="1" applyFill="1" applyBorder="1" applyAlignment="1">
      <alignment horizontal="left" vertical="center"/>
    </xf>
    <xf numFmtId="0" fontId="4" fillId="0" borderId="46" xfId="6" applyNumberFormat="1" applyFont="1" applyFill="1" applyBorder="1" applyAlignment="1">
      <alignment horizontal="center"/>
    </xf>
    <xf numFmtId="0" fontId="4" fillId="0" borderId="46" xfId="8" applyFont="1" applyBorder="1" applyAlignment="1">
      <alignment horizontal="center"/>
    </xf>
    <xf numFmtId="0" fontId="4" fillId="0" borderId="46" xfId="8" applyFont="1" applyFill="1" applyBorder="1" applyAlignment="1">
      <alignment horizontal="center"/>
    </xf>
    <xf numFmtId="0" fontId="8" fillId="4" borderId="47" xfId="6" applyNumberFormat="1" applyFont="1" applyFill="1" applyBorder="1" applyAlignment="1">
      <alignment horizontal="center" vertical="center"/>
    </xf>
    <xf numFmtId="0" fontId="8" fillId="2" borderId="48" xfId="6" applyNumberFormat="1" applyFont="1" applyFill="1" applyBorder="1" applyAlignment="1">
      <alignment horizontal="center" vertical="center"/>
    </xf>
    <xf numFmtId="0" fontId="8" fillId="4" borderId="54" xfId="6" applyFont="1" applyFill="1" applyBorder="1" applyAlignment="1">
      <alignment vertical="center"/>
    </xf>
    <xf numFmtId="0" fontId="5" fillId="2" borderId="9" xfId="3" applyFont="1" applyFill="1" applyBorder="1" applyAlignment="1" applyProtection="1">
      <alignment horizontal="center" wrapText="1"/>
    </xf>
    <xf numFmtId="0" fontId="10" fillId="0" borderId="0" xfId="0" quotePrefix="1" applyFont="1" applyBorder="1" applyAlignment="1"/>
    <xf numFmtId="0" fontId="5" fillId="2" borderId="13" xfId="3" applyFont="1" applyFill="1" applyBorder="1" applyAlignment="1" applyProtection="1">
      <alignment horizontal="center" vertical="center" wrapText="1"/>
    </xf>
    <xf numFmtId="0" fontId="5" fillId="2" borderId="14" xfId="3" applyFont="1" applyFill="1" applyBorder="1" applyAlignment="1" applyProtection="1">
      <alignment horizontal="center" wrapText="1"/>
    </xf>
    <xf numFmtId="0" fontId="5" fillId="2" borderId="14" xfId="3" applyFont="1" applyFill="1" applyBorder="1" applyAlignment="1" applyProtection="1">
      <alignment horizontal="center"/>
    </xf>
    <xf numFmtId="167" fontId="3" fillId="7" borderId="0" xfId="1" applyNumberFormat="1" applyFont="1" applyFill="1" applyBorder="1" applyAlignment="1" applyProtection="1">
      <alignment wrapText="1"/>
    </xf>
    <xf numFmtId="167" fontId="3" fillId="7" borderId="0" xfId="1" applyNumberFormat="1" applyFont="1" applyFill="1" applyBorder="1" applyProtection="1"/>
    <xf numFmtId="0" fontId="3" fillId="0" borderId="0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64" fontId="8" fillId="3" borderId="2" xfId="6" quotePrefix="1" applyNumberFormat="1" applyFont="1" applyFill="1" applyBorder="1" applyAlignment="1">
      <alignment horizontal="center"/>
    </xf>
    <xf numFmtId="164" fontId="8" fillId="3" borderId="6" xfId="6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169" fontId="6" fillId="0" borderId="0" xfId="2" quotePrefix="1" applyNumberFormat="1" applyFont="1" applyBorder="1" applyAlignment="1">
      <alignment horizontal="center"/>
    </xf>
    <xf numFmtId="169" fontId="8" fillId="3" borderId="23" xfId="2" applyNumberFormat="1" applyFont="1" applyFill="1" applyBorder="1" applyAlignment="1">
      <alignment horizontal="center"/>
    </xf>
    <xf numFmtId="169" fontId="8" fillId="3" borderId="24" xfId="2" applyNumberFormat="1" applyFont="1" applyFill="1" applyBorder="1" applyAlignment="1">
      <alignment horizontal="center"/>
    </xf>
    <xf numFmtId="169" fontId="4" fillId="0" borderId="25" xfId="2" applyNumberFormat="1" applyFont="1" applyFill="1" applyBorder="1"/>
    <xf numFmtId="0" fontId="0" fillId="0" borderId="53" xfId="0" applyBorder="1" applyAlignment="1">
      <alignment horizontal="center"/>
    </xf>
    <xf numFmtId="169" fontId="4" fillId="0" borderId="25" xfId="2" applyNumberFormat="1" applyFont="1" applyBorder="1"/>
    <xf numFmtId="169" fontId="4" fillId="0" borderId="25" xfId="2" applyNumberFormat="1" applyFont="1" applyFill="1" applyBorder="1" applyAlignment="1">
      <alignment horizontal="right"/>
    </xf>
    <xf numFmtId="169" fontId="8" fillId="4" borderId="20" xfId="2" applyNumberFormat="1" applyFont="1" applyFill="1" applyBorder="1" applyAlignment="1">
      <alignment horizontal="right" vertical="center"/>
    </xf>
    <xf numFmtId="169" fontId="8" fillId="2" borderId="2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0" fillId="0" borderId="0" xfId="2" applyNumberFormat="1" applyFont="1"/>
    <xf numFmtId="0" fontId="6" fillId="0" borderId="0" xfId="0" quotePrefix="1" applyFont="1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53" xfId="0" applyFill="1" applyBorder="1" applyAlignment="1"/>
    <xf numFmtId="0" fontId="4" fillId="0" borderId="53" xfId="6" applyFont="1" applyFill="1" applyBorder="1" applyAlignment="1"/>
    <xf numFmtId="0" fontId="4" fillId="0" borderId="53" xfId="8" applyFont="1" applyBorder="1" applyAlignment="1"/>
    <xf numFmtId="0" fontId="8" fillId="2" borderId="55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0" fillId="0" borderId="0" xfId="0" applyAlignment="1"/>
    <xf numFmtId="0" fontId="0" fillId="8" borderId="0" xfId="0" applyFill="1" applyBorder="1"/>
    <xf numFmtId="0" fontId="3" fillId="0" borderId="0" xfId="0" quotePrefix="1" applyFont="1" applyFill="1" applyBorder="1" applyAlignment="1"/>
    <xf numFmtId="0" fontId="5" fillId="2" borderId="8" xfId="3" applyFont="1" applyFill="1" applyBorder="1" applyAlignment="1" applyProtection="1">
      <alignment horizontal="center"/>
    </xf>
    <xf numFmtId="0" fontId="5" fillId="2" borderId="11" xfId="3" applyFont="1" applyFill="1" applyBorder="1" applyAlignment="1" applyProtection="1">
      <alignment horizontal="center"/>
    </xf>
    <xf numFmtId="0" fontId="5" fillId="2" borderId="8" xfId="3" applyFont="1" applyFill="1" applyBorder="1" applyAlignment="1" applyProtection="1">
      <alignment horizontal="center" wrapText="1"/>
    </xf>
    <xf numFmtId="0" fontId="5" fillId="2" borderId="11" xfId="3" applyFont="1" applyFill="1" applyBorder="1" applyAlignment="1" applyProtection="1">
      <alignment horizontal="center" wrapText="1"/>
    </xf>
    <xf numFmtId="0" fontId="5" fillId="2" borderId="9" xfId="3" applyFont="1" applyFill="1" applyBorder="1" applyAlignment="1" applyProtection="1">
      <alignment horizontal="center" wrapText="1"/>
    </xf>
    <xf numFmtId="0" fontId="5" fillId="2" borderId="12" xfId="3" applyFont="1" applyFill="1" applyBorder="1" applyAlignment="1" applyProtection="1">
      <alignment horizont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7" xfId="3" applyFont="1" applyFill="1" applyBorder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horizontal="center" vertical="center" wrapText="1"/>
    </xf>
    <xf numFmtId="17" fontId="3" fillId="2" borderId="3" xfId="3" quotePrefix="1" applyNumberFormat="1" applyFont="1" applyFill="1" applyBorder="1" applyAlignment="1">
      <alignment horizontal="center"/>
    </xf>
    <xf numFmtId="17" fontId="3" fillId="2" borderId="4" xfId="3" applyNumberFormat="1" applyFont="1" applyFill="1" applyBorder="1" applyAlignment="1">
      <alignment horizontal="center"/>
    </xf>
    <xf numFmtId="17" fontId="3" fillId="2" borderId="5" xfId="3" applyNumberFormat="1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4" fillId="0" borderId="32" xfId="0" applyFont="1" applyFill="1" applyBorder="1" applyAlignment="1" applyProtection="1">
      <alignment vertical="top" wrapText="1"/>
      <protection locked="0"/>
    </xf>
    <xf numFmtId="0" fontId="4" fillId="0" borderId="33" xfId="0" applyFont="1" applyFill="1" applyBorder="1" applyAlignment="1" applyProtection="1">
      <alignment vertical="top" wrapText="1"/>
      <protection locked="0"/>
    </xf>
    <xf numFmtId="0" fontId="3" fillId="0" borderId="0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8" fillId="4" borderId="21" xfId="0" applyFont="1" applyFill="1" applyBorder="1" applyAlignment="1" applyProtection="1">
      <alignment horizontal="center" vertical="top" wrapText="1"/>
    </xf>
    <xf numFmtId="0" fontId="4" fillId="4" borderId="30" xfId="0" applyFont="1" applyFill="1" applyBorder="1" applyAlignment="1" applyProtection="1">
      <alignment horizontal="center" vertical="top" wrapText="1"/>
    </xf>
    <xf numFmtId="0" fontId="4" fillId="4" borderId="31" xfId="0" applyFont="1" applyFill="1" applyBorder="1" applyAlignment="1" applyProtection="1">
      <alignment horizontal="center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8" fillId="4" borderId="13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top" wrapText="1"/>
    </xf>
    <xf numFmtId="0" fontId="4" fillId="4" borderId="9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8" fillId="4" borderId="34" xfId="0" applyFont="1" applyFill="1" applyBorder="1" applyAlignment="1" applyProtection="1">
      <alignment horizontal="center" vertical="top" wrapText="1"/>
    </xf>
    <xf numFmtId="0" fontId="8" fillId="4" borderId="35" xfId="0" applyFont="1" applyFill="1" applyBorder="1" applyAlignment="1" applyProtection="1">
      <alignment horizontal="center" vertical="top" wrapText="1"/>
    </xf>
    <xf numFmtId="0" fontId="8" fillId="4" borderId="36" xfId="0" applyFont="1" applyFill="1" applyBorder="1" applyAlignment="1" applyProtection="1">
      <alignment horizontal="center" vertical="top" wrapText="1"/>
    </xf>
    <xf numFmtId="0" fontId="8" fillId="4" borderId="38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8" fillId="5" borderId="13" xfId="0" applyFont="1" applyFill="1" applyBorder="1" applyAlignment="1" applyProtection="1">
      <alignment vertical="top" wrapText="1"/>
    </xf>
    <xf numFmtId="0" fontId="8" fillId="5" borderId="0" xfId="0" applyFont="1" applyFill="1" applyBorder="1" applyAlignment="1" applyProtection="1">
      <alignment vertical="top" wrapText="1"/>
    </xf>
    <xf numFmtId="0" fontId="8" fillId="4" borderId="18" xfId="0" applyFont="1" applyFill="1" applyBorder="1" applyAlignment="1" applyProtection="1">
      <alignment horizontal="center" vertical="top" wrapText="1"/>
    </xf>
    <xf numFmtId="0" fontId="4" fillId="4" borderId="32" xfId="0" applyFont="1" applyFill="1" applyBorder="1" applyAlignment="1" applyProtection="1">
      <alignment horizontal="center" vertical="top" wrapText="1"/>
    </xf>
    <xf numFmtId="0" fontId="4" fillId="4" borderId="33" xfId="0" applyFont="1" applyFill="1" applyBorder="1" applyAlignment="1" applyProtection="1">
      <alignment horizontal="center" vertical="top" wrapText="1"/>
    </xf>
    <xf numFmtId="0" fontId="8" fillId="5" borderId="18" xfId="0" applyFont="1" applyFill="1" applyBorder="1" applyAlignment="1" applyProtection="1">
      <alignment vertical="top" wrapText="1"/>
    </xf>
    <xf numFmtId="0" fontId="4" fillId="5" borderId="32" xfId="0" applyFont="1" applyFill="1" applyBorder="1" applyAlignment="1" applyProtection="1">
      <alignment vertical="top" wrapText="1"/>
    </xf>
    <xf numFmtId="0" fontId="8" fillId="4" borderId="37" xfId="0" applyFont="1" applyFill="1" applyBorder="1" applyAlignment="1" applyProtection="1">
      <alignment horizontal="center" vertical="top" wrapText="1"/>
    </xf>
    <xf numFmtId="0" fontId="8" fillId="4" borderId="38" xfId="0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 applyProtection="1">
      <alignment horizontal="center" vertical="top" wrapText="1"/>
    </xf>
    <xf numFmtId="0" fontId="8" fillId="5" borderId="26" xfId="0" applyFont="1" applyFill="1" applyBorder="1" applyAlignment="1" applyProtection="1">
      <alignment horizontal="center" vertical="top" wrapText="1"/>
    </xf>
    <xf numFmtId="0" fontId="8" fillId="5" borderId="19" xfId="0" applyFont="1" applyFill="1" applyBorder="1" applyAlignment="1" applyProtection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top" wrapText="1"/>
    </xf>
    <xf numFmtId="0" fontId="4" fillId="0" borderId="34" xfId="0" applyFont="1" applyFill="1" applyBorder="1" applyAlignment="1" applyProtection="1">
      <alignment horizontal="left" vertical="top" wrapText="1"/>
    </xf>
    <xf numFmtId="0" fontId="4" fillId="0" borderId="35" xfId="0" applyFont="1" applyFill="1" applyBorder="1" applyAlignment="1" applyProtection="1">
      <alignment horizontal="left" vertical="top" wrapText="1"/>
    </xf>
    <xf numFmtId="0" fontId="4" fillId="0" borderId="40" xfId="0" applyFont="1" applyFill="1" applyBorder="1" applyAlignment="1" applyProtection="1">
      <alignment horizontal="left" vertical="top" wrapText="1"/>
    </xf>
    <xf numFmtId="0" fontId="4" fillId="0" borderId="41" xfId="0" applyFont="1" applyFill="1" applyBorder="1" applyAlignment="1" applyProtection="1">
      <alignment horizontal="left" vertical="top" wrapText="1"/>
    </xf>
    <xf numFmtId="0" fontId="4" fillId="0" borderId="36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7" xfId="0" applyFont="1" applyFill="1" applyBorder="1" applyAlignment="1" applyProtection="1">
      <alignment horizontal="left" vertical="top" wrapText="1"/>
    </xf>
    <xf numFmtId="0" fontId="4" fillId="0" borderId="38" xfId="0" applyFont="1" applyFill="1" applyBorder="1" applyAlignment="1" applyProtection="1">
      <alignment horizontal="left" vertical="top" wrapText="1"/>
    </xf>
    <xf numFmtId="0" fontId="4" fillId="0" borderId="42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39" xfId="0" applyFont="1" applyFill="1" applyBorder="1" applyAlignment="1" applyProtection="1">
      <alignment horizontal="left" vertical="top" wrapText="1"/>
    </xf>
    <xf numFmtId="0" fontId="8" fillId="4" borderId="32" xfId="0" applyFont="1" applyFill="1" applyBorder="1" applyAlignment="1" applyProtection="1">
      <alignment horizontal="center" vertical="top" wrapText="1"/>
    </xf>
    <xf numFmtId="0" fontId="8" fillId="4" borderId="33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8" fillId="4" borderId="18" xfId="0" applyFont="1" applyFill="1" applyBorder="1" applyAlignment="1" applyProtection="1">
      <alignment vertical="top" wrapText="1"/>
    </xf>
    <xf numFmtId="0" fontId="4" fillId="4" borderId="32" xfId="0" applyFont="1" applyFill="1" applyBorder="1" applyAlignment="1" applyProtection="1">
      <alignment vertical="top" wrapText="1"/>
    </xf>
    <xf numFmtId="0" fontId="8" fillId="5" borderId="32" xfId="0" applyFont="1" applyFill="1" applyBorder="1" applyAlignment="1" applyProtection="1">
      <alignment vertical="top" wrapText="1"/>
    </xf>
    <xf numFmtId="0" fontId="4" fillId="5" borderId="33" xfId="0" applyFont="1" applyFill="1" applyBorder="1" applyAlignment="1" applyProtection="1">
      <alignment vertical="top" wrapText="1"/>
    </xf>
    <xf numFmtId="0" fontId="4" fillId="0" borderId="44" xfId="0" applyFont="1" applyFill="1" applyBorder="1" applyAlignment="1" applyProtection="1">
      <alignment vertical="top" wrapText="1"/>
      <protection locked="0"/>
    </xf>
    <xf numFmtId="0" fontId="4" fillId="0" borderId="45" xfId="0" applyFont="1" applyFill="1" applyBorder="1" applyAlignment="1" applyProtection="1">
      <alignment vertical="top" wrapText="1"/>
      <protection locked="0"/>
    </xf>
  </cellXfs>
  <cellStyles count="9">
    <cellStyle name="Comma" xfId="1" builtinId="3"/>
    <cellStyle name="Comma 2" xfId="7"/>
    <cellStyle name="Currency" xfId="2" builtinId="4"/>
    <cellStyle name="Normal" xfId="0" builtinId="0"/>
    <cellStyle name="Normal 10" xfId="6"/>
    <cellStyle name="Normal 2" xfId="3"/>
    <cellStyle name="Normal 2 2" xfId="4"/>
    <cellStyle name="Normal 2 2 2" xfId="5"/>
    <cellStyle name="Normal 5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A34" zoomScale="60" zoomScaleNormal="60" workbookViewId="0">
      <selection activeCell="B61" sqref="B61"/>
    </sheetView>
  </sheetViews>
  <sheetFormatPr defaultColWidth="9.140625" defaultRowHeight="12.75" x14ac:dyDescent="0.2"/>
  <cols>
    <col min="1" max="1" width="57" style="2" customWidth="1"/>
    <col min="2" max="2" width="27" style="2" bestFit="1" customWidth="1"/>
    <col min="3" max="3" width="25.42578125" style="2" bestFit="1" customWidth="1"/>
    <col min="4" max="4" width="14.5703125" style="2" customWidth="1"/>
    <col min="5" max="5" width="24.85546875" style="2" bestFit="1" customWidth="1"/>
    <col min="6" max="6" width="19" style="2" bestFit="1" customWidth="1"/>
    <col min="7" max="8" width="24.85546875" style="2" bestFit="1" customWidth="1"/>
    <col min="9" max="12" width="9.140625" style="2" customWidth="1"/>
    <col min="13" max="13" width="1.28515625" style="2" customWidth="1"/>
    <col min="14" max="16384" width="9.140625" style="2"/>
  </cols>
  <sheetData>
    <row r="1" spans="1:8" ht="21" customHeight="1" x14ac:dyDescent="0.25">
      <c r="A1" s="1" t="s">
        <v>42</v>
      </c>
      <c r="B1" s="1"/>
      <c r="C1" s="1"/>
      <c r="D1" s="1"/>
      <c r="E1" s="1"/>
      <c r="F1" s="1"/>
      <c r="G1" s="1"/>
      <c r="H1" s="1"/>
    </row>
    <row r="2" spans="1:8" ht="21" customHeight="1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ht="21" customHeight="1" x14ac:dyDescent="0.25">
      <c r="A3" s="125" t="s">
        <v>128</v>
      </c>
      <c r="B3" s="1"/>
      <c r="C3" s="1"/>
      <c r="D3" s="1"/>
      <c r="E3" s="1"/>
      <c r="F3" s="1"/>
      <c r="G3" s="1"/>
      <c r="H3" s="1"/>
    </row>
    <row r="4" spans="1:8" ht="21" customHeight="1" x14ac:dyDescent="0.25">
      <c r="A4" s="1"/>
      <c r="B4" s="1"/>
      <c r="C4" s="1"/>
      <c r="D4" s="1"/>
      <c r="E4" s="1"/>
      <c r="F4" s="1"/>
      <c r="G4" s="1"/>
      <c r="H4" s="1"/>
    </row>
    <row r="5" spans="1:8" ht="21" customHeight="1" thickBot="1" x14ac:dyDescent="0.3">
      <c r="A5" s="93"/>
      <c r="B5" s="1"/>
      <c r="C5" s="1"/>
      <c r="D5" s="1"/>
      <c r="E5" s="1"/>
      <c r="F5" s="1"/>
      <c r="G5" s="1"/>
      <c r="H5" s="1"/>
    </row>
    <row r="6" spans="1:8" ht="21" customHeight="1" x14ac:dyDescent="0.25">
      <c r="A6" s="132"/>
      <c r="B6" s="57">
        <v>2019</v>
      </c>
      <c r="C6" s="135" t="s">
        <v>44</v>
      </c>
      <c r="D6" s="136"/>
      <c r="E6" s="137"/>
      <c r="F6" s="58">
        <v>2021</v>
      </c>
      <c r="G6" s="57">
        <v>2022</v>
      </c>
      <c r="H6" s="59">
        <v>2023</v>
      </c>
    </row>
    <row r="7" spans="1:8" ht="21" customHeight="1" x14ac:dyDescent="0.2">
      <c r="A7" s="133"/>
      <c r="B7" s="128" t="s">
        <v>1</v>
      </c>
      <c r="C7" s="128" t="s">
        <v>2</v>
      </c>
      <c r="D7" s="128" t="s">
        <v>3</v>
      </c>
      <c r="E7" s="128" t="s">
        <v>4</v>
      </c>
      <c r="F7" s="126" t="s">
        <v>5</v>
      </c>
      <c r="G7" s="128" t="s">
        <v>6</v>
      </c>
      <c r="H7" s="130" t="s">
        <v>6</v>
      </c>
    </row>
    <row r="8" spans="1:8" ht="21" customHeight="1" thickBot="1" x14ac:dyDescent="0.25">
      <c r="A8" s="134" t="s">
        <v>7</v>
      </c>
      <c r="B8" s="129"/>
      <c r="C8" s="129"/>
      <c r="D8" s="129"/>
      <c r="E8" s="129" t="s">
        <v>8</v>
      </c>
      <c r="F8" s="127"/>
      <c r="G8" s="129"/>
      <c r="H8" s="131"/>
    </row>
    <row r="9" spans="1:8" ht="21" customHeight="1" x14ac:dyDescent="0.25">
      <c r="A9" s="94"/>
      <c r="B9" s="95"/>
      <c r="C9" s="95"/>
      <c r="D9" s="95"/>
      <c r="E9" s="95"/>
      <c r="F9" s="96"/>
      <c r="G9" s="95"/>
      <c r="H9" s="92"/>
    </row>
    <row r="10" spans="1:8" ht="21" customHeight="1" x14ac:dyDescent="0.2">
      <c r="A10" s="3" t="s">
        <v>106</v>
      </c>
      <c r="B10" s="4">
        <v>11285528</v>
      </c>
      <c r="C10" s="4">
        <v>14699000</v>
      </c>
      <c r="D10" s="4"/>
      <c r="E10" s="4">
        <v>11592924</v>
      </c>
      <c r="F10" s="4">
        <v>17177017</v>
      </c>
      <c r="G10" s="4">
        <v>18035867</v>
      </c>
      <c r="H10" s="5">
        <v>18035867</v>
      </c>
    </row>
    <row r="11" spans="1:8" s="7" customFormat="1" ht="21" customHeight="1" x14ac:dyDescent="0.2">
      <c r="A11" s="6" t="s">
        <v>110</v>
      </c>
      <c r="B11" s="4"/>
      <c r="C11" s="4"/>
      <c r="D11" s="4"/>
      <c r="E11" s="4"/>
      <c r="F11" s="4"/>
      <c r="G11" s="4"/>
      <c r="H11" s="5"/>
    </row>
    <row r="12" spans="1:8" ht="21" customHeight="1" x14ac:dyDescent="0.2">
      <c r="A12" s="6" t="s">
        <v>9</v>
      </c>
      <c r="B12" s="4">
        <v>2275</v>
      </c>
      <c r="C12" s="4">
        <v>2000</v>
      </c>
      <c r="D12" s="4"/>
      <c r="E12" s="4">
        <v>223</v>
      </c>
      <c r="F12" s="4">
        <v>0</v>
      </c>
      <c r="G12" s="4">
        <v>0</v>
      </c>
      <c r="H12" s="5">
        <v>0</v>
      </c>
    </row>
    <row r="13" spans="1:8" ht="21" customHeight="1" x14ac:dyDescent="0.2">
      <c r="A13" s="3" t="s">
        <v>108</v>
      </c>
      <c r="B13" s="4">
        <v>1600</v>
      </c>
      <c r="C13" s="4">
        <v>5000</v>
      </c>
      <c r="D13" s="4"/>
      <c r="E13" s="4">
        <v>3600</v>
      </c>
      <c r="F13" s="4">
        <v>4800</v>
      </c>
      <c r="G13" s="4">
        <v>5040</v>
      </c>
      <c r="H13" s="5">
        <v>5040</v>
      </c>
    </row>
    <row r="14" spans="1:8" ht="21" customHeight="1" x14ac:dyDescent="0.2">
      <c r="A14" s="3" t="s">
        <v>111</v>
      </c>
      <c r="B14" s="4">
        <f>19966+1767312</f>
        <v>1787278</v>
      </c>
      <c r="C14" s="4">
        <f>20000+80000</f>
        <v>100000</v>
      </c>
      <c r="D14" s="4"/>
      <c r="E14" s="4">
        <f>26618+1505371</f>
        <v>1531989</v>
      </c>
      <c r="F14" s="4">
        <f>20000+78000</f>
        <v>98000</v>
      </c>
      <c r="G14" s="4">
        <f>21000+81900</f>
        <v>102900</v>
      </c>
      <c r="H14" s="4">
        <f>21000+81900</f>
        <v>102900</v>
      </c>
    </row>
    <row r="15" spans="1:8" ht="21" customHeight="1" x14ac:dyDescent="0.2">
      <c r="A15" s="3" t="s">
        <v>107</v>
      </c>
      <c r="B15" s="4">
        <v>43202</v>
      </c>
      <c r="C15" s="4">
        <v>42000</v>
      </c>
      <c r="D15" s="4"/>
      <c r="E15" s="4">
        <v>42000</v>
      </c>
      <c r="F15" s="4">
        <v>42000</v>
      </c>
      <c r="G15" s="4">
        <v>84000</v>
      </c>
      <c r="H15" s="5">
        <v>84000</v>
      </c>
    </row>
    <row r="16" spans="1:8" ht="21" customHeight="1" x14ac:dyDescent="0.2">
      <c r="A16" s="8" t="s">
        <v>43</v>
      </c>
      <c r="B16" s="4">
        <v>16646469</v>
      </c>
      <c r="C16" s="4">
        <v>16662408</v>
      </c>
      <c r="D16" s="4"/>
      <c r="E16" s="4">
        <v>20262408</v>
      </c>
      <c r="F16" s="4">
        <v>16662408</v>
      </c>
      <c r="G16" s="4">
        <v>16662408</v>
      </c>
      <c r="H16" s="5">
        <v>16662408</v>
      </c>
    </row>
    <row r="17" spans="1:8" s="7" customFormat="1" ht="21" customHeight="1" x14ac:dyDescent="0.2">
      <c r="A17" s="9" t="s">
        <v>109</v>
      </c>
      <c r="B17" s="4">
        <v>17064</v>
      </c>
      <c r="C17" s="4">
        <v>12000</v>
      </c>
      <c r="D17" s="4"/>
      <c r="E17" s="4">
        <f>12000+2032300</f>
        <v>2044300</v>
      </c>
      <c r="F17" s="4">
        <v>12000</v>
      </c>
      <c r="G17" s="4">
        <v>12600</v>
      </c>
      <c r="H17" s="4">
        <v>12600</v>
      </c>
    </row>
    <row r="18" spans="1:8" ht="21" customHeight="1" x14ac:dyDescent="0.2">
      <c r="A18" s="8" t="s">
        <v>112</v>
      </c>
      <c r="B18" s="4"/>
      <c r="C18" s="4"/>
      <c r="D18" s="4"/>
      <c r="E18" s="4"/>
      <c r="F18" s="4"/>
      <c r="G18" s="4"/>
      <c r="H18" s="5"/>
    </row>
    <row r="19" spans="1:8" ht="21" customHeight="1" thickBot="1" x14ac:dyDescent="0.25">
      <c r="A19" s="3" t="s">
        <v>124</v>
      </c>
      <c r="B19" s="4">
        <f>433524+285</f>
        <v>433809</v>
      </c>
      <c r="C19" s="4">
        <v>409000</v>
      </c>
      <c r="D19" s="4"/>
      <c r="E19" s="4">
        <v>409000</v>
      </c>
      <c r="F19" s="4">
        <v>409000</v>
      </c>
      <c r="G19" s="4">
        <v>429450</v>
      </c>
      <c r="H19" s="5">
        <v>429450</v>
      </c>
    </row>
    <row r="20" spans="1:8" ht="21" customHeight="1" thickBot="1" x14ac:dyDescent="0.3">
      <c r="A20" s="60" t="s">
        <v>10</v>
      </c>
      <c r="B20" s="10">
        <f>SUM(B10:B19)</f>
        <v>30217225</v>
      </c>
      <c r="C20" s="10">
        <f t="shared" ref="C20:H20" si="0">SUM(C10:C19)</f>
        <v>31931408</v>
      </c>
      <c r="D20" s="10">
        <f t="shared" si="0"/>
        <v>0</v>
      </c>
      <c r="E20" s="10">
        <f t="shared" si="0"/>
        <v>35886444</v>
      </c>
      <c r="F20" s="10">
        <f t="shared" si="0"/>
        <v>34405225</v>
      </c>
      <c r="G20" s="10">
        <f t="shared" si="0"/>
        <v>35332265</v>
      </c>
      <c r="H20" s="10">
        <f t="shared" si="0"/>
        <v>35332265</v>
      </c>
    </row>
    <row r="21" spans="1:8" ht="21" customHeight="1" x14ac:dyDescent="0.2">
      <c r="A21" s="9"/>
      <c r="B21" s="4"/>
      <c r="C21" s="4"/>
      <c r="D21" s="4"/>
      <c r="E21" s="4"/>
      <c r="F21" s="4"/>
      <c r="G21" s="4"/>
      <c r="H21" s="5"/>
    </row>
    <row r="22" spans="1:8" ht="21" customHeight="1" x14ac:dyDescent="0.2">
      <c r="A22" s="9" t="s">
        <v>11</v>
      </c>
      <c r="B22" s="4">
        <v>17824839</v>
      </c>
      <c r="C22" s="4">
        <v>19318449</v>
      </c>
      <c r="D22" s="4"/>
      <c r="E22" s="4">
        <v>18760008</v>
      </c>
      <c r="F22" s="4">
        <v>18957847.719999999</v>
      </c>
      <c r="G22" s="4">
        <v>19905740.105999999</v>
      </c>
      <c r="H22" s="5">
        <v>19905740.105999999</v>
      </c>
    </row>
    <row r="23" spans="1:8" ht="21" customHeight="1" x14ac:dyDescent="0.2">
      <c r="A23" s="9" t="s">
        <v>12</v>
      </c>
      <c r="B23" s="4">
        <v>0</v>
      </c>
      <c r="C23" s="4">
        <v>0</v>
      </c>
      <c r="D23" s="4"/>
      <c r="E23" s="4"/>
      <c r="F23" s="4">
        <v>0</v>
      </c>
      <c r="G23" s="4">
        <v>0</v>
      </c>
      <c r="H23" s="5">
        <v>0</v>
      </c>
    </row>
    <row r="24" spans="1:8" ht="21" customHeight="1" x14ac:dyDescent="0.2">
      <c r="A24" s="9" t="s">
        <v>14</v>
      </c>
      <c r="B24" s="4">
        <f>408383+313777</f>
        <v>722160</v>
      </c>
      <c r="C24" s="4">
        <f>470679+375745</f>
        <v>846424</v>
      </c>
      <c r="D24" s="4"/>
      <c r="E24" s="4">
        <f>422554.533333333+375745</f>
        <v>798299.53333333298</v>
      </c>
      <c r="F24" s="4">
        <f>465284.94+130084</f>
        <v>595368.93999999994</v>
      </c>
      <c r="G24" s="4">
        <f>488549.187+136588</f>
        <v>625137.18699999992</v>
      </c>
      <c r="H24" s="5">
        <f>488549.187+136588</f>
        <v>625137.18699999992</v>
      </c>
    </row>
    <row r="25" spans="1:8" ht="21" customHeight="1" x14ac:dyDescent="0.2">
      <c r="A25" s="3" t="s">
        <v>45</v>
      </c>
      <c r="B25" s="4">
        <v>689292</v>
      </c>
      <c r="C25" s="4">
        <v>777405</v>
      </c>
      <c r="D25" s="4"/>
      <c r="E25" s="4">
        <v>710446.66666666674</v>
      </c>
      <c r="F25" s="4">
        <v>750684.58000000007</v>
      </c>
      <c r="G25" s="4">
        <v>788218.80900000012</v>
      </c>
      <c r="H25" s="5">
        <v>788218.80900000012</v>
      </c>
    </row>
    <row r="26" spans="1:8" ht="21" customHeight="1" x14ac:dyDescent="0.2">
      <c r="A26" s="9" t="s">
        <v>13</v>
      </c>
      <c r="B26" s="4">
        <v>855799</v>
      </c>
      <c r="C26" s="4">
        <v>859984</v>
      </c>
      <c r="D26" s="4"/>
      <c r="E26" s="4">
        <v>931106</v>
      </c>
      <c r="F26" s="4">
        <v>1089146.6199999996</v>
      </c>
      <c r="G26" s="4">
        <v>1143603.9509999997</v>
      </c>
      <c r="H26" s="5">
        <v>1143603.9509999997</v>
      </c>
    </row>
    <row r="27" spans="1:8" ht="21" customHeight="1" x14ac:dyDescent="0.2">
      <c r="A27" s="9" t="s">
        <v>113</v>
      </c>
      <c r="B27" s="4">
        <v>1221076</v>
      </c>
      <c r="C27" s="4">
        <v>1331770</v>
      </c>
      <c r="D27" s="4"/>
      <c r="E27" s="4">
        <v>1228611.4666666666</v>
      </c>
      <c r="F27" s="4">
        <v>1438581.3229999999</v>
      </c>
      <c r="G27" s="4">
        <v>1510510.3891499999</v>
      </c>
      <c r="H27" s="5">
        <v>1510510.3891499999</v>
      </c>
    </row>
    <row r="28" spans="1:8" ht="21" customHeight="1" x14ac:dyDescent="0.2">
      <c r="A28" s="9" t="s">
        <v>114</v>
      </c>
      <c r="B28" s="4"/>
      <c r="C28" s="4"/>
      <c r="D28" s="4"/>
      <c r="E28" s="4"/>
      <c r="F28" s="4"/>
      <c r="G28" s="4"/>
      <c r="H28" s="5"/>
    </row>
    <row r="29" spans="1:8" ht="21" customHeight="1" thickBot="1" x14ac:dyDescent="0.25">
      <c r="A29" s="9" t="s">
        <v>127</v>
      </c>
      <c r="B29" s="4">
        <v>1726758</v>
      </c>
      <c r="C29" s="4"/>
      <c r="D29" s="4"/>
      <c r="E29" s="4"/>
      <c r="F29" s="4"/>
      <c r="G29" s="4"/>
      <c r="H29" s="5"/>
    </row>
    <row r="30" spans="1:8" ht="21" customHeight="1" thickBot="1" x14ac:dyDescent="0.3">
      <c r="A30" s="60" t="s">
        <v>115</v>
      </c>
      <c r="B30" s="10">
        <f>SUM(B22:B29)</f>
        <v>23039924</v>
      </c>
      <c r="C30" s="10">
        <f t="shared" ref="C30:H30" si="1">SUM(C22:C29)</f>
        <v>23134032</v>
      </c>
      <c r="D30" s="10">
        <f t="shared" si="1"/>
        <v>0</v>
      </c>
      <c r="E30" s="10">
        <f t="shared" si="1"/>
        <v>22428471.666666664</v>
      </c>
      <c r="F30" s="10">
        <f t="shared" si="1"/>
        <v>22831629.183000002</v>
      </c>
      <c r="G30" s="10">
        <f t="shared" si="1"/>
        <v>23973210.44215</v>
      </c>
      <c r="H30" s="10">
        <f t="shared" si="1"/>
        <v>23973210.44215</v>
      </c>
    </row>
    <row r="31" spans="1:8" ht="21" customHeight="1" x14ac:dyDescent="0.2">
      <c r="A31" s="9" t="s">
        <v>30</v>
      </c>
      <c r="B31" s="4">
        <v>25975</v>
      </c>
      <c r="C31" s="4">
        <v>9500</v>
      </c>
      <c r="E31" s="4">
        <v>17547.133333333335</v>
      </c>
      <c r="F31" s="4">
        <v>33500</v>
      </c>
      <c r="G31" s="4">
        <v>33500</v>
      </c>
      <c r="H31" s="5">
        <v>33500</v>
      </c>
    </row>
    <row r="32" spans="1:8" ht="21" customHeight="1" x14ac:dyDescent="0.2">
      <c r="A32" s="3" t="s">
        <v>32</v>
      </c>
      <c r="B32" s="4">
        <v>9600</v>
      </c>
      <c r="C32" s="4">
        <v>399274</v>
      </c>
      <c r="E32" s="4">
        <v>82054</v>
      </c>
      <c r="F32" s="4">
        <v>150000</v>
      </c>
      <c r="G32" s="4">
        <v>70000</v>
      </c>
      <c r="H32" s="5">
        <v>70000</v>
      </c>
    </row>
    <row r="33" spans="1:8" ht="21" customHeight="1" x14ac:dyDescent="0.2">
      <c r="A33" s="3" t="s">
        <v>116</v>
      </c>
      <c r="B33" s="4"/>
      <c r="C33" s="4"/>
      <c r="E33" s="4"/>
      <c r="F33" s="4">
        <v>1717701.6542</v>
      </c>
      <c r="G33" s="4">
        <v>901793.36845499987</v>
      </c>
      <c r="H33" s="5">
        <v>901793.36845499987</v>
      </c>
    </row>
    <row r="34" spans="1:8" ht="21" customHeight="1" x14ac:dyDescent="0.2">
      <c r="A34" s="9" t="s">
        <v>35</v>
      </c>
      <c r="B34" s="4">
        <v>14237</v>
      </c>
      <c r="C34" s="4">
        <v>12000</v>
      </c>
      <c r="D34" s="4"/>
      <c r="E34" s="4">
        <v>8000</v>
      </c>
      <c r="F34" s="4">
        <v>11129</v>
      </c>
      <c r="G34" s="4">
        <v>11129</v>
      </c>
      <c r="H34" s="5">
        <v>11129</v>
      </c>
    </row>
    <row r="35" spans="1:8" ht="21" customHeight="1" x14ac:dyDescent="0.2">
      <c r="A35" s="9" t="s">
        <v>33</v>
      </c>
      <c r="B35" s="4"/>
      <c r="C35" s="4"/>
      <c r="D35" s="4"/>
      <c r="E35" s="4"/>
      <c r="F35" s="4"/>
      <c r="G35" s="4"/>
      <c r="H35" s="4"/>
    </row>
    <row r="36" spans="1:8" ht="21" customHeight="1" x14ac:dyDescent="0.2">
      <c r="A36" s="3" t="s">
        <v>19</v>
      </c>
      <c r="B36" s="4">
        <f>99101+139841</f>
        <v>238942</v>
      </c>
      <c r="C36" s="4">
        <f>117244+147900</f>
        <v>265144</v>
      </c>
      <c r="D36" s="4"/>
      <c r="E36" s="4">
        <f>107307+146786</f>
        <v>254093</v>
      </c>
      <c r="F36" s="4">
        <f>122796+147900</f>
        <v>270696</v>
      </c>
      <c r="G36" s="4">
        <f>F36</f>
        <v>270696</v>
      </c>
      <c r="H36" s="4">
        <f>G36</f>
        <v>270696</v>
      </c>
    </row>
    <row r="37" spans="1:8" ht="21" customHeight="1" x14ac:dyDescent="0.2">
      <c r="A37" s="3" t="s">
        <v>26</v>
      </c>
      <c r="B37" s="4">
        <v>0</v>
      </c>
      <c r="C37" s="4">
        <v>126000</v>
      </c>
      <c r="D37" s="4"/>
      <c r="E37" s="4">
        <v>126000</v>
      </c>
      <c r="F37" s="4">
        <v>661258</v>
      </c>
      <c r="G37" s="4">
        <v>661258</v>
      </c>
      <c r="H37" s="5">
        <v>661258</v>
      </c>
    </row>
    <row r="38" spans="1:8" ht="21" customHeight="1" x14ac:dyDescent="0.2">
      <c r="A38" s="3" t="s">
        <v>34</v>
      </c>
      <c r="B38" s="4"/>
      <c r="C38" s="4"/>
      <c r="D38" s="4"/>
      <c r="E38" s="4"/>
      <c r="F38" s="4"/>
      <c r="G38" s="4"/>
      <c r="H38" s="5"/>
    </row>
    <row r="39" spans="1:8" ht="21" customHeight="1" x14ac:dyDescent="0.2">
      <c r="A39" s="9" t="s">
        <v>15</v>
      </c>
      <c r="B39" s="4">
        <v>189180</v>
      </c>
      <c r="C39" s="4">
        <v>189540</v>
      </c>
      <c r="D39" s="4"/>
      <c r="E39" s="4">
        <v>187380</v>
      </c>
      <c r="F39" s="4">
        <v>189540</v>
      </c>
      <c r="G39" s="4">
        <v>189540</v>
      </c>
      <c r="H39" s="5">
        <v>189540</v>
      </c>
    </row>
    <row r="40" spans="1:8" ht="21" customHeight="1" x14ac:dyDescent="0.2">
      <c r="A40" s="9" t="s">
        <v>117</v>
      </c>
      <c r="B40" s="4"/>
      <c r="C40" s="4"/>
      <c r="D40" s="4"/>
      <c r="E40" s="4"/>
      <c r="F40" s="4"/>
      <c r="G40" s="4"/>
      <c r="H40" s="5"/>
    </row>
    <row r="41" spans="1:8" ht="21" customHeight="1" x14ac:dyDescent="0.2">
      <c r="A41" s="3" t="s">
        <v>28</v>
      </c>
      <c r="B41" s="4">
        <v>53821</v>
      </c>
      <c r="C41" s="4">
        <v>42000</v>
      </c>
      <c r="D41" s="4"/>
      <c r="E41" s="4">
        <f>5275+25463</f>
        <v>30738</v>
      </c>
      <c r="F41" s="4">
        <f>43000</f>
        <v>43000</v>
      </c>
      <c r="G41" s="4">
        <f>43000</f>
        <v>43000</v>
      </c>
      <c r="H41" s="4">
        <f>43000</f>
        <v>43000</v>
      </c>
    </row>
    <row r="42" spans="1:8" ht="21" customHeight="1" x14ac:dyDescent="0.2">
      <c r="A42" s="9" t="s">
        <v>27</v>
      </c>
      <c r="B42" s="4">
        <f>121264+16883+273847</f>
        <v>411994</v>
      </c>
      <c r="C42" s="4">
        <f>242528+18000+284000</f>
        <v>544528</v>
      </c>
      <c r="D42" s="4"/>
      <c r="E42" s="4">
        <f>242528+27741+419340</f>
        <v>689609</v>
      </c>
      <c r="F42" s="4">
        <f>363792+28000+526476</f>
        <v>918268</v>
      </c>
      <c r="G42" s="4">
        <f>363792+28000+526476</f>
        <v>918268</v>
      </c>
      <c r="H42" s="4">
        <f>363792+28000+526476</f>
        <v>918268</v>
      </c>
    </row>
    <row r="43" spans="1:8" ht="21" customHeight="1" x14ac:dyDescent="0.2">
      <c r="A43" s="9" t="s">
        <v>17</v>
      </c>
      <c r="B43" s="4">
        <v>207083</v>
      </c>
      <c r="C43" s="4">
        <v>121516</v>
      </c>
      <c r="D43" s="4"/>
      <c r="E43" s="4">
        <v>68863</v>
      </c>
      <c r="F43" s="4">
        <v>9915</v>
      </c>
      <c r="G43" s="4">
        <v>9915</v>
      </c>
      <c r="H43" s="4">
        <v>9915</v>
      </c>
    </row>
    <row r="44" spans="1:8" ht="21" customHeight="1" x14ac:dyDescent="0.2">
      <c r="A44" s="9" t="s">
        <v>16</v>
      </c>
      <c r="B44" s="4">
        <v>0</v>
      </c>
      <c r="C44" s="4">
        <v>0</v>
      </c>
      <c r="D44" s="4"/>
      <c r="E44" s="4"/>
      <c r="F44" s="4"/>
      <c r="G44" s="4"/>
      <c r="H44" s="5"/>
    </row>
    <row r="45" spans="1:8" ht="21" customHeight="1" x14ac:dyDescent="0.2">
      <c r="A45" s="9" t="s">
        <v>21</v>
      </c>
      <c r="B45" s="4">
        <v>709147</v>
      </c>
      <c r="C45" s="4">
        <v>516636</v>
      </c>
      <c r="D45" s="4"/>
      <c r="E45" s="4">
        <v>958385</v>
      </c>
      <c r="F45" s="4">
        <v>728236</v>
      </c>
      <c r="G45" s="4">
        <v>728236</v>
      </c>
      <c r="H45" s="4">
        <v>728236</v>
      </c>
    </row>
    <row r="46" spans="1:8" ht="21" customHeight="1" x14ac:dyDescent="0.2">
      <c r="A46" s="9" t="s">
        <v>20</v>
      </c>
      <c r="B46" s="4">
        <f>101574+27578</f>
        <v>129152</v>
      </c>
      <c r="C46" s="4">
        <f>24600+114088</f>
        <v>138688</v>
      </c>
      <c r="D46" s="4"/>
      <c r="E46" s="4">
        <f>114088+24600</f>
        <v>138688</v>
      </c>
      <c r="F46" s="4">
        <f>38330+84202</f>
        <v>122532</v>
      </c>
      <c r="G46" s="4">
        <f t="shared" ref="G46:H46" si="2">38330+84202</f>
        <v>122532</v>
      </c>
      <c r="H46" s="4">
        <f t="shared" si="2"/>
        <v>122532</v>
      </c>
    </row>
    <row r="47" spans="1:8" ht="21" customHeight="1" x14ac:dyDescent="0.2">
      <c r="A47" s="9" t="s">
        <v>36</v>
      </c>
      <c r="B47" s="4">
        <f>38270+31814+17516+21046+2663+79124+3773</f>
        <v>194206</v>
      </c>
      <c r="C47" s="4">
        <f>137631+60000+150004+50000+70000+33000+6000+8988+81600+10400</f>
        <v>607623</v>
      </c>
      <c r="D47" s="4"/>
      <c r="E47" s="4">
        <f>137631+8633+80400+4000+5239+8988+99643+783</f>
        <v>345317</v>
      </c>
      <c r="F47" s="4">
        <f>137631+60000+150004+50000+70000+5000+105696+24000+4196+126600+17000</f>
        <v>750127</v>
      </c>
      <c r="G47" s="4">
        <f t="shared" ref="G47:H47" si="3">137631+60000+150004+50000+70000+5000+105696+24000+4196+126600+17000</f>
        <v>750127</v>
      </c>
      <c r="H47" s="4">
        <f t="shared" si="3"/>
        <v>750127</v>
      </c>
    </row>
    <row r="48" spans="1:8" ht="21" customHeight="1" x14ac:dyDescent="0.2">
      <c r="A48" s="9" t="s">
        <v>23</v>
      </c>
      <c r="B48" s="4">
        <f>296472+248112+1869746+1753543+26182</f>
        <v>4194055</v>
      </c>
      <c r="C48" s="4">
        <f>255604+270112+1800000+1508600+30000</f>
        <v>3864316</v>
      </c>
      <c r="D48" s="4"/>
      <c r="E48" s="4">
        <f>255604+202332+1756251+1955862+26000</f>
        <v>4196049</v>
      </c>
      <c r="F48" s="4">
        <f>368379+270112+1800000+1202100+30000</f>
        <v>3670591</v>
      </c>
      <c r="G48" s="4">
        <f t="shared" ref="G48:H48" si="4">368379+270112+1800000+1202100+30000</f>
        <v>3670591</v>
      </c>
      <c r="H48" s="4">
        <f t="shared" si="4"/>
        <v>3670591</v>
      </c>
    </row>
    <row r="49" spans="1:8" ht="21" customHeight="1" x14ac:dyDescent="0.2">
      <c r="A49" s="9" t="s">
        <v>122</v>
      </c>
      <c r="B49" s="4"/>
      <c r="C49" s="4"/>
      <c r="D49" s="4"/>
      <c r="E49" s="4"/>
      <c r="F49" s="4"/>
      <c r="G49" s="4"/>
      <c r="H49" s="5"/>
    </row>
    <row r="50" spans="1:8" ht="27.75" customHeight="1" x14ac:dyDescent="0.2">
      <c r="A50" s="9" t="s">
        <v>25</v>
      </c>
      <c r="B50" s="4">
        <v>478256</v>
      </c>
      <c r="C50" s="4">
        <v>260367</v>
      </c>
      <c r="D50" s="4"/>
      <c r="E50" s="4">
        <v>72850</v>
      </c>
      <c r="F50" s="4">
        <v>237439</v>
      </c>
      <c r="G50" s="4">
        <v>237439</v>
      </c>
      <c r="H50" s="4">
        <v>237439</v>
      </c>
    </row>
    <row r="51" spans="1:8" ht="27.75" customHeight="1" x14ac:dyDescent="0.2">
      <c r="A51" s="9" t="s">
        <v>120</v>
      </c>
      <c r="B51" s="4"/>
      <c r="C51" s="4"/>
      <c r="D51" s="4"/>
      <c r="E51" s="4"/>
      <c r="F51" s="4">
        <v>4000</v>
      </c>
      <c r="G51" s="4">
        <v>4000</v>
      </c>
      <c r="H51" s="4">
        <v>4000</v>
      </c>
    </row>
    <row r="52" spans="1:8" ht="21" customHeight="1" x14ac:dyDescent="0.2">
      <c r="A52" s="3" t="s">
        <v>119</v>
      </c>
      <c r="B52" s="4">
        <v>58536</v>
      </c>
      <c r="C52" s="4">
        <v>34000</v>
      </c>
      <c r="D52" s="4"/>
      <c r="E52" s="4">
        <v>34000</v>
      </c>
      <c r="F52" s="4">
        <v>34000</v>
      </c>
      <c r="G52" s="4">
        <v>34000</v>
      </c>
      <c r="H52" s="4">
        <v>34000</v>
      </c>
    </row>
    <row r="53" spans="1:8" ht="21" customHeight="1" x14ac:dyDescent="0.2">
      <c r="A53" s="3" t="s">
        <v>123</v>
      </c>
      <c r="B53" s="4"/>
      <c r="C53" s="4"/>
      <c r="D53" s="4"/>
      <c r="E53" s="4"/>
      <c r="F53" s="4"/>
      <c r="G53" s="4"/>
      <c r="H53" s="5"/>
    </row>
    <row r="54" spans="1:8" ht="21" customHeight="1" x14ac:dyDescent="0.2">
      <c r="A54" s="9" t="s">
        <v>31</v>
      </c>
      <c r="B54" s="4"/>
      <c r="C54" s="4"/>
      <c r="D54" s="4"/>
      <c r="E54" s="4"/>
      <c r="F54" s="4"/>
      <c r="G54" s="4"/>
      <c r="H54" s="5"/>
    </row>
    <row r="55" spans="1:8" ht="21" customHeight="1" x14ac:dyDescent="0.2">
      <c r="A55" s="9" t="s">
        <v>22</v>
      </c>
      <c r="B55" s="4">
        <v>13750</v>
      </c>
      <c r="C55" s="4">
        <v>13750</v>
      </c>
      <c r="D55" s="4"/>
      <c r="E55" s="4">
        <v>0</v>
      </c>
      <c r="F55" s="4">
        <v>1080</v>
      </c>
      <c r="G55" s="4">
        <v>1080</v>
      </c>
      <c r="H55" s="5">
        <v>1080</v>
      </c>
    </row>
    <row r="56" spans="1:8" ht="21" customHeight="1" x14ac:dyDescent="0.2">
      <c r="A56" s="9" t="s">
        <v>118</v>
      </c>
      <c r="B56" s="4">
        <v>18471</v>
      </c>
      <c r="C56" s="4">
        <v>18600</v>
      </c>
      <c r="D56" s="4"/>
      <c r="E56" s="4">
        <v>26500</v>
      </c>
      <c r="F56" s="4">
        <v>25338</v>
      </c>
      <c r="G56" s="4">
        <v>25338</v>
      </c>
      <c r="H56" s="4">
        <v>25338</v>
      </c>
    </row>
    <row r="57" spans="1:8" ht="21" customHeight="1" x14ac:dyDescent="0.2">
      <c r="A57" s="9" t="s">
        <v>29</v>
      </c>
      <c r="B57" s="4">
        <v>468738</v>
      </c>
      <c r="C57" s="4">
        <v>290000</v>
      </c>
      <c r="D57" s="4"/>
      <c r="E57" s="4">
        <v>287940</v>
      </c>
      <c r="F57" s="4">
        <v>148568</v>
      </c>
      <c r="G57" s="4">
        <v>148568</v>
      </c>
      <c r="H57" s="4">
        <v>148568</v>
      </c>
    </row>
    <row r="58" spans="1:8" ht="21" customHeight="1" x14ac:dyDescent="0.2">
      <c r="A58" s="9" t="s">
        <v>24</v>
      </c>
      <c r="B58" s="4"/>
      <c r="C58" s="4"/>
      <c r="D58" s="4"/>
      <c r="E58" s="4"/>
      <c r="F58" s="4"/>
      <c r="G58" s="4"/>
      <c r="H58" s="5"/>
    </row>
    <row r="59" spans="1:8" ht="21" customHeight="1" x14ac:dyDescent="0.2">
      <c r="A59" s="9" t="s">
        <v>18</v>
      </c>
      <c r="B59" s="4">
        <f>1123102+253390</f>
        <v>1376492</v>
      </c>
      <c r="C59" s="4">
        <f>1096004+235440+5280</f>
        <v>1336724</v>
      </c>
      <c r="D59" s="4"/>
      <c r="E59" s="4">
        <f>950000+247772</f>
        <v>1197772</v>
      </c>
      <c r="F59" s="4">
        <f>1527004+264440+5280</f>
        <v>1796724</v>
      </c>
      <c r="G59" s="4">
        <f t="shared" ref="G59:H59" si="5">1527004+264440+5280</f>
        <v>1796724</v>
      </c>
      <c r="H59" s="4">
        <f t="shared" si="5"/>
        <v>1796724</v>
      </c>
    </row>
    <row r="60" spans="1:8" ht="21" customHeight="1" x14ac:dyDescent="0.2">
      <c r="A60" s="9" t="s">
        <v>121</v>
      </c>
      <c r="B60" s="4"/>
      <c r="C60" s="4"/>
      <c r="D60" s="4"/>
      <c r="E60" s="4"/>
      <c r="F60" s="4"/>
      <c r="G60" s="4"/>
      <c r="H60" s="5"/>
    </row>
    <row r="61" spans="1:8" ht="21" customHeight="1" thickBot="1" x14ac:dyDescent="0.3">
      <c r="A61" s="61" t="s">
        <v>37</v>
      </c>
      <c r="B61" s="62">
        <f t="shared" ref="B61:H61" si="6">SUM(B31:B59)</f>
        <v>8791635</v>
      </c>
      <c r="C61" s="62">
        <f t="shared" si="6"/>
        <v>8790206</v>
      </c>
      <c r="D61" s="62">
        <f t="shared" si="6"/>
        <v>0</v>
      </c>
      <c r="E61" s="62">
        <f t="shared" si="6"/>
        <v>8721785.1333333328</v>
      </c>
      <c r="F61" s="62">
        <f>SUM(F31:F59)</f>
        <v>11523642.654199999</v>
      </c>
      <c r="G61" s="62">
        <f t="shared" si="6"/>
        <v>10627734.368455</v>
      </c>
      <c r="H61" s="63">
        <f t="shared" si="6"/>
        <v>10627734.368455</v>
      </c>
    </row>
    <row r="62" spans="1:8" ht="21" customHeight="1" thickBot="1" x14ac:dyDescent="0.3">
      <c r="A62" s="64" t="s">
        <v>38</v>
      </c>
      <c r="B62" s="65">
        <f t="shared" ref="B62:H62" si="7">SUM(B61+B30)</f>
        <v>31831559</v>
      </c>
      <c r="C62" s="65">
        <f t="shared" si="7"/>
        <v>31924238</v>
      </c>
      <c r="D62" s="65">
        <f t="shared" si="7"/>
        <v>0</v>
      </c>
      <c r="E62" s="65">
        <f t="shared" si="7"/>
        <v>31150256.799999997</v>
      </c>
      <c r="F62" s="65">
        <f t="shared" si="7"/>
        <v>34355271.837200001</v>
      </c>
      <c r="G62" s="65">
        <f t="shared" si="7"/>
        <v>34600944.810605004</v>
      </c>
      <c r="H62" s="66">
        <f t="shared" si="7"/>
        <v>34600944.810605004</v>
      </c>
    </row>
    <row r="63" spans="1:8" s="11" customFormat="1" ht="33" customHeight="1" thickBot="1" x14ac:dyDescent="0.3">
      <c r="A63" s="67" t="s">
        <v>39</v>
      </c>
      <c r="B63" s="68">
        <f t="shared" ref="B63:H63" si="8">B20-B62</f>
        <v>-1614334</v>
      </c>
      <c r="C63" s="68">
        <f t="shared" si="8"/>
        <v>7170</v>
      </c>
      <c r="D63" s="68">
        <f t="shared" si="8"/>
        <v>0</v>
      </c>
      <c r="E63" s="68">
        <f t="shared" si="8"/>
        <v>4736187.200000003</v>
      </c>
      <c r="F63" s="68">
        <f t="shared" si="8"/>
        <v>49953.162799999118</v>
      </c>
      <c r="G63" s="68">
        <f t="shared" si="8"/>
        <v>731320.18939499557</v>
      </c>
      <c r="H63" s="69">
        <f t="shared" si="8"/>
        <v>731320.18939499557</v>
      </c>
    </row>
    <row r="64" spans="1:8" s="11" customFormat="1" ht="21" customHeight="1" thickBot="1" x14ac:dyDescent="0.3">
      <c r="A64" s="12" t="s">
        <v>40</v>
      </c>
      <c r="B64" s="13"/>
      <c r="C64" s="13">
        <v>5000</v>
      </c>
      <c r="D64" s="13"/>
      <c r="E64" s="13"/>
      <c r="F64" s="13"/>
      <c r="G64" s="13"/>
      <c r="H64" s="14"/>
    </row>
    <row r="65" spans="1:8" s="11" customFormat="1" ht="21" customHeight="1" thickBot="1" x14ac:dyDescent="0.3">
      <c r="A65" s="70" t="s">
        <v>41</v>
      </c>
      <c r="B65" s="68">
        <f t="shared" ref="B65:E65" si="9">B63-B64</f>
        <v>-1614334</v>
      </c>
      <c r="C65" s="68">
        <f t="shared" si="9"/>
        <v>2170</v>
      </c>
      <c r="D65" s="68">
        <f t="shared" si="9"/>
        <v>0</v>
      </c>
      <c r="E65" s="68">
        <f t="shared" si="9"/>
        <v>4736187.200000003</v>
      </c>
      <c r="F65" s="68">
        <f>F63-F64</f>
        <v>49953.162799999118</v>
      </c>
      <c r="G65" s="68">
        <f t="shared" ref="G65:H65" si="10">G63-G64</f>
        <v>731320.18939499557</v>
      </c>
      <c r="H65" s="69">
        <f t="shared" si="10"/>
        <v>731320.18939499557</v>
      </c>
    </row>
    <row r="66" spans="1:8" x14ac:dyDescent="0.2">
      <c r="A66" s="2" t="s">
        <v>125</v>
      </c>
    </row>
    <row r="67" spans="1:8" s="11" customFormat="1" ht="21" customHeight="1" x14ac:dyDescent="0.25">
      <c r="A67" s="97" t="s">
        <v>126</v>
      </c>
      <c r="B67" s="98"/>
      <c r="C67" s="98"/>
      <c r="D67" s="98"/>
      <c r="E67" s="98"/>
      <c r="F67" s="98"/>
      <c r="G67" s="98"/>
      <c r="H67" s="98"/>
    </row>
  </sheetData>
  <sheetProtection algorithmName="SHA-512" hashValue="3Wy1+BOrwbVfmaCxp/2A9BUke+2Du+EGuvd4AFoR3L00MxgG5/P2hdnqVLigsY56Q6e7jemQKSRpbEiDw0FYiw==" saltValue="eIMYvnL9Bh7R72tjbT9yFg==" spinCount="100000" sheet="1" formatCells="0" formatColumns="0" formatRows="0" insertColumns="0" insertRows="0" insertHyperlinks="0" deleteColumns="0" deleteRows="0" pivotTables="0"/>
  <sortState ref="A30:A53">
    <sortCondition ref="A30"/>
  </sortState>
  <mergeCells count="9">
    <mergeCell ref="F7:F8"/>
    <mergeCell ref="G7:G8"/>
    <mergeCell ref="H7:H8"/>
    <mergeCell ref="A6:A8"/>
    <mergeCell ref="C6:E6"/>
    <mergeCell ref="B7:B8"/>
    <mergeCell ref="C7:C8"/>
    <mergeCell ref="D7:D8"/>
    <mergeCell ref="E7:E8"/>
  </mergeCells>
  <dataValidations count="1">
    <dataValidation type="textLength" allowBlank="1" showInputMessage="1" showErrorMessage="1" sqref="A3:B4 E3:E4">
      <formula1>4</formula1>
      <formula2>100</formula2>
    </dataValidation>
  </dataValidations>
  <pageMargins left="0.7" right="0.7" top="0.75" bottom="0.75" header="0.3" footer="0.3"/>
  <pageSetup scale="4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opLeftCell="A115" zoomScale="160" zoomScaleNormal="160" workbookViewId="0">
      <selection activeCell="B20" sqref="B20"/>
    </sheetView>
  </sheetViews>
  <sheetFormatPr defaultRowHeight="15" x14ac:dyDescent="0.25"/>
  <cols>
    <col min="2" max="2" width="38.85546875" customWidth="1"/>
    <col min="3" max="3" width="28.7109375" style="123" customWidth="1"/>
    <col min="4" max="4" width="14.85546875" customWidth="1"/>
    <col min="5" max="5" width="15" style="114" customWidth="1"/>
    <col min="6" max="6" width="13.140625" customWidth="1"/>
    <col min="7" max="7" width="15.28515625" style="114" customWidth="1"/>
    <col min="8" max="8" width="10.42578125" customWidth="1"/>
  </cols>
  <sheetData>
    <row r="1" spans="1:8" ht="15.75" x14ac:dyDescent="0.25">
      <c r="A1" s="103" t="s">
        <v>53</v>
      </c>
      <c r="B1" s="99"/>
      <c r="C1" s="1"/>
      <c r="D1" s="99"/>
      <c r="E1" s="99"/>
      <c r="F1" s="99"/>
      <c r="G1" s="99"/>
    </row>
    <row r="2" spans="1:8" ht="15.75" x14ac:dyDescent="0.25">
      <c r="A2" s="36" t="s">
        <v>103</v>
      </c>
      <c r="B2" s="100"/>
      <c r="C2" s="115"/>
      <c r="D2" s="100"/>
      <c r="E2" s="100"/>
      <c r="F2" s="100"/>
      <c r="G2" s="100"/>
    </row>
    <row r="3" spans="1:8" ht="15.75" x14ac:dyDescent="0.25">
      <c r="A3" s="36" t="s">
        <v>129</v>
      </c>
      <c r="B3" s="100"/>
      <c r="C3" s="115"/>
      <c r="D3" s="100"/>
      <c r="E3" s="100"/>
      <c r="F3" s="100"/>
      <c r="G3" s="100"/>
    </row>
    <row r="4" spans="1:8" ht="16.5" thickBot="1" x14ac:dyDescent="0.3">
      <c r="A4" s="100"/>
      <c r="B4" s="100"/>
      <c r="C4" s="115"/>
      <c r="D4" s="100"/>
      <c r="E4" s="104"/>
      <c r="F4" s="100"/>
      <c r="G4" s="104"/>
    </row>
    <row r="5" spans="1:8" x14ac:dyDescent="0.25">
      <c r="A5" s="15"/>
      <c r="B5" s="16"/>
      <c r="C5" s="16"/>
      <c r="D5" s="101" t="s">
        <v>104</v>
      </c>
      <c r="E5" s="102"/>
      <c r="F5" s="101" t="s">
        <v>44</v>
      </c>
      <c r="G5" s="102"/>
    </row>
    <row r="6" spans="1:8" x14ac:dyDescent="0.25">
      <c r="A6" s="17"/>
      <c r="B6" s="18" t="str">
        <f>A3</f>
        <v>Health Authority of Anguilla</v>
      </c>
      <c r="C6" s="18" t="s">
        <v>105</v>
      </c>
      <c r="D6" s="19" t="s">
        <v>46</v>
      </c>
      <c r="E6" s="105" t="s">
        <v>47</v>
      </c>
      <c r="F6" s="19" t="s">
        <v>46</v>
      </c>
      <c r="G6" s="105" t="s">
        <v>47</v>
      </c>
    </row>
    <row r="7" spans="1:8" ht="15.75" thickBot="1" x14ac:dyDescent="0.3">
      <c r="A7" s="20"/>
      <c r="B7" s="21"/>
      <c r="C7" s="21"/>
      <c r="D7" s="22" t="s">
        <v>48</v>
      </c>
      <c r="E7" s="106" t="s">
        <v>49</v>
      </c>
      <c r="F7" s="22" t="s">
        <v>48</v>
      </c>
      <c r="G7" s="106" t="s">
        <v>49</v>
      </c>
    </row>
    <row r="8" spans="1:8" x14ac:dyDescent="0.25">
      <c r="A8" s="23"/>
      <c r="B8" s="81"/>
      <c r="C8" s="116"/>
      <c r="D8" s="86"/>
      <c r="E8" s="107"/>
      <c r="F8" s="24"/>
      <c r="G8" s="107"/>
    </row>
    <row r="9" spans="1:8" x14ac:dyDescent="0.25">
      <c r="A9" s="23"/>
      <c r="B9" s="35" t="s">
        <v>130</v>
      </c>
      <c r="C9" s="118">
        <v>1</v>
      </c>
      <c r="D9" s="86">
        <v>1</v>
      </c>
      <c r="E9" s="107">
        <v>225216</v>
      </c>
      <c r="F9" s="24">
        <v>1</v>
      </c>
      <c r="G9" s="107">
        <v>225216</v>
      </c>
    </row>
    <row r="10" spans="1:8" x14ac:dyDescent="0.25">
      <c r="A10" s="23"/>
      <c r="B10" s="35" t="s">
        <v>131</v>
      </c>
      <c r="C10" s="118">
        <v>2</v>
      </c>
      <c r="D10" s="86">
        <v>1</v>
      </c>
      <c r="E10" s="107">
        <v>138876</v>
      </c>
      <c r="F10" s="24">
        <v>1</v>
      </c>
      <c r="G10" s="107">
        <v>138876</v>
      </c>
    </row>
    <row r="11" spans="1:8" x14ac:dyDescent="0.25">
      <c r="A11" s="23"/>
      <c r="B11" s="25" t="s">
        <v>132</v>
      </c>
      <c r="C11" s="117">
        <v>2</v>
      </c>
      <c r="D11" s="86">
        <v>1</v>
      </c>
      <c r="E11" s="107">
        <v>138876</v>
      </c>
      <c r="F11" s="24">
        <v>1</v>
      </c>
      <c r="G11" s="107">
        <v>138876</v>
      </c>
      <c r="H11" s="26"/>
    </row>
    <row r="12" spans="1:8" x14ac:dyDescent="0.25">
      <c r="A12" s="23"/>
      <c r="B12" s="25" t="s">
        <v>241</v>
      </c>
      <c r="C12" s="117">
        <v>2</v>
      </c>
      <c r="D12" s="86">
        <v>1</v>
      </c>
      <c r="E12" s="107">
        <v>150480</v>
      </c>
      <c r="F12" s="24">
        <v>1</v>
      </c>
      <c r="G12" s="107">
        <v>150480</v>
      </c>
      <c r="H12" s="26"/>
    </row>
    <row r="13" spans="1:8" x14ac:dyDescent="0.25">
      <c r="A13" s="23"/>
      <c r="B13" s="25" t="s">
        <v>133</v>
      </c>
      <c r="C13" s="117">
        <v>2</v>
      </c>
      <c r="D13" s="86">
        <v>1</v>
      </c>
      <c r="E13" s="107">
        <v>138876</v>
      </c>
      <c r="F13" s="24">
        <v>1</v>
      </c>
      <c r="G13" s="107">
        <v>138876</v>
      </c>
      <c r="H13" s="26"/>
    </row>
    <row r="14" spans="1:8" x14ac:dyDescent="0.25">
      <c r="A14" s="23"/>
      <c r="B14" s="25" t="s">
        <v>134</v>
      </c>
      <c r="C14" s="117">
        <v>2</v>
      </c>
      <c r="D14" s="86">
        <v>1</v>
      </c>
      <c r="E14" s="107">
        <v>210800</v>
      </c>
      <c r="F14" s="24">
        <v>1</v>
      </c>
      <c r="G14" s="107">
        <v>210800</v>
      </c>
      <c r="H14" s="26"/>
    </row>
    <row r="15" spans="1:8" x14ac:dyDescent="0.25">
      <c r="A15" s="23"/>
      <c r="B15" s="25" t="s">
        <v>135</v>
      </c>
      <c r="C15" s="117">
        <v>2</v>
      </c>
      <c r="D15" s="86">
        <v>1</v>
      </c>
      <c r="E15" s="107">
        <v>138876</v>
      </c>
      <c r="F15" s="24">
        <v>1</v>
      </c>
      <c r="G15" s="107">
        <v>138876</v>
      </c>
      <c r="H15" s="26"/>
    </row>
    <row r="16" spans="1:8" x14ac:dyDescent="0.25">
      <c r="A16" s="23"/>
      <c r="B16" s="25" t="s">
        <v>136</v>
      </c>
      <c r="C16" s="117">
        <v>5</v>
      </c>
      <c r="D16" s="86">
        <v>2</v>
      </c>
      <c r="E16" s="107">
        <v>142434</v>
      </c>
      <c r="F16" s="24">
        <v>2</v>
      </c>
      <c r="G16" s="107">
        <v>189912</v>
      </c>
      <c r="H16" s="26"/>
    </row>
    <row r="17" spans="1:8" x14ac:dyDescent="0.25">
      <c r="A17" s="23"/>
      <c r="B17" s="25" t="s">
        <v>137</v>
      </c>
      <c r="C17" s="117">
        <v>6</v>
      </c>
      <c r="D17" s="86">
        <v>1</v>
      </c>
      <c r="E17" s="107">
        <v>85872</v>
      </c>
      <c r="F17" s="24">
        <v>1</v>
      </c>
      <c r="G17" s="107">
        <v>85872</v>
      </c>
      <c r="H17" s="26"/>
    </row>
    <row r="18" spans="1:8" x14ac:dyDescent="0.25">
      <c r="A18" s="23"/>
      <c r="B18" s="25" t="s">
        <v>138</v>
      </c>
      <c r="C18" s="117">
        <v>12</v>
      </c>
      <c r="D18" s="86">
        <v>2</v>
      </c>
      <c r="E18" s="107">
        <v>101916</v>
      </c>
      <c r="F18" s="24">
        <v>2</v>
      </c>
      <c r="G18" s="107">
        <v>101916</v>
      </c>
      <c r="H18" s="26"/>
    </row>
    <row r="19" spans="1:8" x14ac:dyDescent="0.25">
      <c r="A19" s="23"/>
      <c r="B19" s="25" t="s">
        <v>139</v>
      </c>
      <c r="C19" s="117">
        <v>15</v>
      </c>
      <c r="D19" s="86">
        <v>1</v>
      </c>
      <c r="E19" s="107">
        <v>37668</v>
      </c>
      <c r="F19" s="24">
        <v>1</v>
      </c>
      <c r="G19" s="107">
        <v>37668</v>
      </c>
      <c r="H19" s="26"/>
    </row>
    <row r="20" spans="1:8" x14ac:dyDescent="0.25">
      <c r="A20" s="23"/>
      <c r="B20" s="35" t="s">
        <v>140</v>
      </c>
      <c r="C20" s="117">
        <v>15</v>
      </c>
      <c r="D20" s="86">
        <v>2</v>
      </c>
      <c r="E20" s="107">
        <v>72384</v>
      </c>
      <c r="F20" s="24">
        <v>2</v>
      </c>
      <c r="G20" s="107">
        <v>72384</v>
      </c>
      <c r="H20" s="26"/>
    </row>
    <row r="21" spans="1:8" x14ac:dyDescent="0.25">
      <c r="A21" s="23"/>
      <c r="B21" s="25" t="s">
        <v>141</v>
      </c>
      <c r="C21" s="117">
        <v>15</v>
      </c>
      <c r="D21" s="86">
        <v>2</v>
      </c>
      <c r="E21" s="107">
        <v>72384</v>
      </c>
      <c r="F21" s="24">
        <v>2</v>
      </c>
      <c r="G21" s="107">
        <v>72384</v>
      </c>
      <c r="H21" s="26"/>
    </row>
    <row r="22" spans="1:8" x14ac:dyDescent="0.25">
      <c r="A22" s="23"/>
      <c r="B22" s="25" t="s">
        <v>142</v>
      </c>
      <c r="C22" s="117">
        <v>9</v>
      </c>
      <c r="D22" s="86">
        <v>1</v>
      </c>
      <c r="E22" s="107">
        <v>63516</v>
      </c>
      <c r="F22" s="24">
        <v>0</v>
      </c>
      <c r="G22" s="107">
        <v>0</v>
      </c>
      <c r="H22" s="26"/>
    </row>
    <row r="23" spans="1:8" x14ac:dyDescent="0.25">
      <c r="A23" s="23"/>
      <c r="B23" s="25" t="s">
        <v>143</v>
      </c>
      <c r="C23" s="117">
        <v>5</v>
      </c>
      <c r="D23" s="86">
        <v>1</v>
      </c>
      <c r="E23" s="107">
        <v>97860</v>
      </c>
      <c r="F23" s="24">
        <v>1</v>
      </c>
      <c r="G23" s="107">
        <v>97860</v>
      </c>
      <c r="H23" s="26"/>
    </row>
    <row r="24" spans="1:8" x14ac:dyDescent="0.25">
      <c r="A24" s="23"/>
      <c r="B24" s="25" t="s">
        <v>144</v>
      </c>
      <c r="C24" s="117">
        <v>5</v>
      </c>
      <c r="D24" s="86">
        <v>1</v>
      </c>
      <c r="E24" s="107">
        <v>3215.23</v>
      </c>
      <c r="F24" s="24">
        <v>1</v>
      </c>
      <c r="G24" s="107">
        <v>99672</v>
      </c>
      <c r="H24" s="26"/>
    </row>
    <row r="25" spans="1:8" x14ac:dyDescent="0.25">
      <c r="A25" s="23"/>
      <c r="B25" s="25" t="s">
        <v>145</v>
      </c>
      <c r="C25" s="117">
        <v>6</v>
      </c>
      <c r="D25" s="86">
        <v>1</v>
      </c>
      <c r="E25" s="107">
        <v>85872</v>
      </c>
      <c r="F25" s="24">
        <v>1</v>
      </c>
      <c r="G25" s="107">
        <v>77664</v>
      </c>
      <c r="H25" s="26"/>
    </row>
    <row r="26" spans="1:8" x14ac:dyDescent="0.25">
      <c r="A26" s="23"/>
      <c r="B26" s="25" t="s">
        <v>146</v>
      </c>
      <c r="C26" s="117">
        <v>6</v>
      </c>
      <c r="D26" s="108">
        <v>2</v>
      </c>
      <c r="E26" s="107">
        <v>178920</v>
      </c>
      <c r="F26" s="24">
        <v>2</v>
      </c>
      <c r="G26" s="107">
        <v>178920</v>
      </c>
      <c r="H26" s="26"/>
    </row>
    <row r="27" spans="1:8" x14ac:dyDescent="0.25">
      <c r="A27" s="23"/>
      <c r="B27" s="35" t="s">
        <v>147</v>
      </c>
      <c r="C27" s="117">
        <v>12</v>
      </c>
      <c r="D27" s="86">
        <v>1</v>
      </c>
      <c r="E27" s="107">
        <v>47472</v>
      </c>
      <c r="F27" s="24">
        <v>1</v>
      </c>
      <c r="G27" s="107">
        <v>47472</v>
      </c>
      <c r="H27" s="26"/>
    </row>
    <row r="28" spans="1:8" x14ac:dyDescent="0.25">
      <c r="A28" s="23"/>
      <c r="B28" s="25" t="s">
        <v>148</v>
      </c>
      <c r="C28" s="117">
        <v>5</v>
      </c>
      <c r="D28" s="86">
        <v>1</v>
      </c>
      <c r="E28" s="107">
        <v>94956</v>
      </c>
      <c r="F28" s="24">
        <v>1</v>
      </c>
      <c r="G28" s="107">
        <v>94956</v>
      </c>
      <c r="H28" s="26"/>
    </row>
    <row r="29" spans="1:8" x14ac:dyDescent="0.25">
      <c r="A29" s="23"/>
      <c r="B29" s="25" t="s">
        <v>149</v>
      </c>
      <c r="C29" s="117">
        <v>8</v>
      </c>
      <c r="D29" s="86">
        <v>1</v>
      </c>
      <c r="E29" s="107">
        <v>76116</v>
      </c>
      <c r="F29" s="24">
        <v>1</v>
      </c>
      <c r="G29" s="107">
        <v>76116</v>
      </c>
      <c r="H29" s="26"/>
    </row>
    <row r="30" spans="1:8" x14ac:dyDescent="0.25">
      <c r="A30" s="23"/>
      <c r="B30" s="25" t="s">
        <v>150</v>
      </c>
      <c r="C30" s="117">
        <v>9</v>
      </c>
      <c r="D30" s="86">
        <v>1</v>
      </c>
      <c r="E30" s="107">
        <v>63516</v>
      </c>
      <c r="F30" s="24">
        <v>1</v>
      </c>
      <c r="G30" s="107">
        <v>63516</v>
      </c>
      <c r="H30" s="26"/>
    </row>
    <row r="31" spans="1:8" x14ac:dyDescent="0.25">
      <c r="A31" s="23"/>
      <c r="B31" s="25" t="s">
        <v>151</v>
      </c>
      <c r="C31" s="117">
        <v>7</v>
      </c>
      <c r="D31" s="86">
        <v>1</v>
      </c>
      <c r="E31" s="107">
        <v>85008</v>
      </c>
      <c r="F31" s="24">
        <v>1</v>
      </c>
      <c r="G31" s="107">
        <v>85008</v>
      </c>
      <c r="H31" s="26"/>
    </row>
    <row r="32" spans="1:8" x14ac:dyDescent="0.25">
      <c r="A32" s="23"/>
      <c r="B32" s="25" t="s">
        <v>152</v>
      </c>
      <c r="C32" s="117">
        <v>9</v>
      </c>
      <c r="D32" s="86">
        <v>1</v>
      </c>
      <c r="E32" s="107">
        <v>63516</v>
      </c>
      <c r="F32" s="24">
        <v>1</v>
      </c>
      <c r="G32" s="107">
        <v>63516</v>
      </c>
      <c r="H32" s="26"/>
    </row>
    <row r="33" spans="1:8" x14ac:dyDescent="0.25">
      <c r="A33" s="23"/>
      <c r="B33" s="25" t="s">
        <v>153</v>
      </c>
      <c r="C33" s="117">
        <v>8</v>
      </c>
      <c r="D33" s="86">
        <v>1</v>
      </c>
      <c r="E33" s="107">
        <v>70236</v>
      </c>
      <c r="F33" s="24">
        <v>1</v>
      </c>
      <c r="G33" s="107">
        <v>70236</v>
      </c>
      <c r="H33" s="26"/>
    </row>
    <row r="34" spans="1:8" x14ac:dyDescent="0.25">
      <c r="A34" s="23"/>
      <c r="B34" s="25" t="s">
        <v>154</v>
      </c>
      <c r="C34" s="117">
        <v>10</v>
      </c>
      <c r="D34" s="86">
        <v>1</v>
      </c>
      <c r="E34" s="107">
        <v>57444</v>
      </c>
      <c r="F34" s="24">
        <v>1</v>
      </c>
      <c r="G34" s="107">
        <v>57444</v>
      </c>
      <c r="H34" s="26"/>
    </row>
    <row r="35" spans="1:8" x14ac:dyDescent="0.25">
      <c r="A35" s="23"/>
      <c r="B35" s="25" t="s">
        <v>155</v>
      </c>
      <c r="C35" s="117">
        <v>7</v>
      </c>
      <c r="D35" s="86">
        <v>1</v>
      </c>
      <c r="E35" s="107">
        <v>77664</v>
      </c>
      <c r="F35" s="24">
        <v>1</v>
      </c>
      <c r="G35" s="107">
        <v>77664</v>
      </c>
      <c r="H35" s="26"/>
    </row>
    <row r="36" spans="1:8" x14ac:dyDescent="0.25">
      <c r="A36" s="23"/>
      <c r="B36" s="25" t="s">
        <v>156</v>
      </c>
      <c r="C36" s="117">
        <v>13</v>
      </c>
      <c r="D36" s="86">
        <v>9</v>
      </c>
      <c r="E36" s="107">
        <v>394668</v>
      </c>
      <c r="F36" s="24">
        <v>9</v>
      </c>
      <c r="G36" s="107">
        <v>394668</v>
      </c>
      <c r="H36" s="26"/>
    </row>
    <row r="37" spans="1:8" x14ac:dyDescent="0.25">
      <c r="A37" s="23"/>
      <c r="B37" s="25" t="s">
        <v>157</v>
      </c>
      <c r="C37" s="117">
        <v>13</v>
      </c>
      <c r="D37" s="86">
        <v>1</v>
      </c>
      <c r="E37" s="107">
        <v>43356</v>
      </c>
      <c r="F37" s="24">
        <v>1</v>
      </c>
      <c r="G37" s="107">
        <v>43356</v>
      </c>
      <c r="H37" s="26"/>
    </row>
    <row r="38" spans="1:8" x14ac:dyDescent="0.25">
      <c r="A38" s="23"/>
      <c r="B38" s="25" t="s">
        <v>158</v>
      </c>
      <c r="C38" s="117">
        <v>7</v>
      </c>
      <c r="D38" s="86">
        <v>1</v>
      </c>
      <c r="E38" s="107">
        <v>77664</v>
      </c>
      <c r="F38" s="24">
        <v>1</v>
      </c>
      <c r="G38" s="107">
        <v>77664</v>
      </c>
      <c r="H38" s="26"/>
    </row>
    <row r="39" spans="1:8" x14ac:dyDescent="0.25">
      <c r="A39" s="23"/>
      <c r="B39" s="25" t="s">
        <v>159</v>
      </c>
      <c r="C39" s="117">
        <v>13</v>
      </c>
      <c r="D39" s="86">
        <v>1</v>
      </c>
      <c r="E39" s="107">
        <v>56292</v>
      </c>
      <c r="F39" s="24">
        <v>1</v>
      </c>
      <c r="G39" s="107">
        <v>56292</v>
      </c>
      <c r="H39" s="26"/>
    </row>
    <row r="40" spans="1:8" x14ac:dyDescent="0.25">
      <c r="A40" s="23"/>
      <c r="B40" s="25" t="s">
        <v>160</v>
      </c>
      <c r="C40" s="117">
        <v>15</v>
      </c>
      <c r="D40" s="86">
        <v>1</v>
      </c>
      <c r="E40" s="107">
        <v>37668</v>
      </c>
      <c r="F40" s="24">
        <v>1</v>
      </c>
      <c r="G40" s="107">
        <v>37668</v>
      </c>
      <c r="H40" s="26"/>
    </row>
    <row r="41" spans="1:8" x14ac:dyDescent="0.25">
      <c r="A41" s="23"/>
      <c r="B41" s="25" t="s">
        <v>161</v>
      </c>
      <c r="C41" s="117">
        <v>5</v>
      </c>
      <c r="D41" s="86">
        <v>1</v>
      </c>
      <c r="E41" s="107">
        <v>92112</v>
      </c>
      <c r="F41" s="24">
        <v>1</v>
      </c>
      <c r="G41" s="107">
        <v>92112</v>
      </c>
      <c r="H41" s="26"/>
    </row>
    <row r="42" spans="1:8" x14ac:dyDescent="0.25">
      <c r="A42" s="23"/>
      <c r="B42" s="25" t="s">
        <v>162</v>
      </c>
      <c r="C42" s="117">
        <v>16</v>
      </c>
      <c r="D42" s="86">
        <v>1</v>
      </c>
      <c r="E42" s="107">
        <v>39612</v>
      </c>
      <c r="F42" s="24">
        <v>1</v>
      </c>
      <c r="G42" s="107">
        <v>37668</v>
      </c>
      <c r="H42" s="26"/>
    </row>
    <row r="43" spans="1:8" x14ac:dyDescent="0.25">
      <c r="A43" s="23"/>
      <c r="B43" s="25" t="s">
        <v>163</v>
      </c>
      <c r="C43" s="117">
        <v>10</v>
      </c>
      <c r="D43" s="86">
        <v>2</v>
      </c>
      <c r="E43" s="107">
        <v>119712</v>
      </c>
      <c r="F43" s="24">
        <v>2</v>
      </c>
      <c r="G43" s="107">
        <v>119712</v>
      </c>
      <c r="H43" s="26"/>
    </row>
    <row r="44" spans="1:8" x14ac:dyDescent="0.25">
      <c r="A44" s="23"/>
      <c r="B44" s="25" t="s">
        <v>164</v>
      </c>
      <c r="C44" s="117">
        <v>10</v>
      </c>
      <c r="D44" s="86">
        <v>1</v>
      </c>
      <c r="E44" s="107">
        <v>57444</v>
      </c>
      <c r="F44" s="24">
        <v>1</v>
      </c>
      <c r="G44" s="107">
        <v>57444</v>
      </c>
      <c r="H44" s="26"/>
    </row>
    <row r="45" spans="1:8" x14ac:dyDescent="0.25">
      <c r="A45" s="23"/>
      <c r="B45" s="25" t="s">
        <v>165</v>
      </c>
      <c r="C45" s="117">
        <v>14</v>
      </c>
      <c r="D45" s="86">
        <v>5</v>
      </c>
      <c r="E45" s="107">
        <v>209352</v>
      </c>
      <c r="F45" s="24">
        <v>3</v>
      </c>
      <c r="G45" s="107">
        <v>130128</v>
      </c>
      <c r="H45" s="26"/>
    </row>
    <row r="46" spans="1:8" x14ac:dyDescent="0.25">
      <c r="A46" s="23"/>
      <c r="B46" s="25" t="s">
        <v>166</v>
      </c>
      <c r="C46" s="117">
        <v>7</v>
      </c>
      <c r="D46" s="86">
        <v>1</v>
      </c>
      <c r="E46" s="107">
        <v>77664</v>
      </c>
      <c r="F46" s="24">
        <v>1</v>
      </c>
      <c r="G46" s="107">
        <v>77664</v>
      </c>
      <c r="H46" s="26"/>
    </row>
    <row r="47" spans="1:8" x14ac:dyDescent="0.25">
      <c r="A47" s="23"/>
      <c r="B47" s="25" t="s">
        <v>167</v>
      </c>
      <c r="C47" s="117">
        <v>10</v>
      </c>
      <c r="D47" s="86">
        <v>1</v>
      </c>
      <c r="E47" s="107">
        <v>57444</v>
      </c>
      <c r="F47" s="24">
        <v>0</v>
      </c>
      <c r="G47" s="107">
        <v>0</v>
      </c>
      <c r="H47" s="26"/>
    </row>
    <row r="48" spans="1:8" x14ac:dyDescent="0.25">
      <c r="A48" s="23"/>
      <c r="B48" s="25" t="s">
        <v>168</v>
      </c>
      <c r="C48" s="117">
        <v>5</v>
      </c>
      <c r="D48" s="86">
        <v>3</v>
      </c>
      <c r="E48" s="107">
        <f>94956*3</f>
        <v>284868</v>
      </c>
      <c r="F48" s="24">
        <v>3</v>
      </c>
      <c r="G48" s="107">
        <f>94956*3</f>
        <v>284868</v>
      </c>
      <c r="H48" s="26"/>
    </row>
    <row r="49" spans="1:8" x14ac:dyDescent="0.25">
      <c r="A49" s="23"/>
      <c r="B49" s="25" t="s">
        <v>169</v>
      </c>
      <c r="C49" s="117">
        <v>7</v>
      </c>
      <c r="D49" s="86">
        <v>4</v>
      </c>
      <c r="E49" s="107">
        <v>310128</v>
      </c>
      <c r="F49" s="24">
        <v>4</v>
      </c>
      <c r="G49" s="107">
        <v>248264</v>
      </c>
      <c r="H49" s="26"/>
    </row>
    <row r="50" spans="1:8" x14ac:dyDescent="0.25">
      <c r="A50" s="23"/>
      <c r="B50" s="25" t="s">
        <v>170</v>
      </c>
      <c r="C50" s="117">
        <v>8</v>
      </c>
      <c r="D50" s="86">
        <v>4</v>
      </c>
      <c r="E50" s="107">
        <v>278112</v>
      </c>
      <c r="F50" s="24">
        <v>2</v>
      </c>
      <c r="G50" s="107">
        <v>139056</v>
      </c>
      <c r="H50" s="26"/>
    </row>
    <row r="51" spans="1:8" x14ac:dyDescent="0.25">
      <c r="A51" s="23"/>
      <c r="B51" s="25" t="s">
        <v>171</v>
      </c>
      <c r="C51" s="117">
        <v>12</v>
      </c>
      <c r="D51" s="86">
        <v>6</v>
      </c>
      <c r="E51" s="107">
        <v>323388</v>
      </c>
      <c r="F51" s="24">
        <v>6</v>
      </c>
      <c r="G51" s="107">
        <v>323388</v>
      </c>
      <c r="H51" s="26"/>
    </row>
    <row r="52" spans="1:8" x14ac:dyDescent="0.25">
      <c r="A52" s="23"/>
      <c r="B52" s="25" t="s">
        <v>172</v>
      </c>
      <c r="C52" s="117">
        <v>15</v>
      </c>
      <c r="D52" s="86">
        <v>3</v>
      </c>
      <c r="E52" s="107">
        <v>119856</v>
      </c>
      <c r="F52" s="24">
        <v>2</v>
      </c>
      <c r="G52" s="107">
        <v>83664</v>
      </c>
      <c r="H52" s="26"/>
    </row>
    <row r="53" spans="1:8" x14ac:dyDescent="0.25">
      <c r="A53" s="23"/>
      <c r="B53" s="25" t="s">
        <v>173</v>
      </c>
      <c r="C53" s="117">
        <v>16</v>
      </c>
      <c r="D53" s="86">
        <v>1</v>
      </c>
      <c r="E53" s="107">
        <v>33072</v>
      </c>
      <c r="F53" s="24">
        <v>1</v>
      </c>
      <c r="G53" s="107">
        <v>33072</v>
      </c>
      <c r="H53" s="26"/>
    </row>
    <row r="54" spans="1:8" x14ac:dyDescent="0.25">
      <c r="A54" s="23"/>
      <c r="B54" s="35" t="s">
        <v>174</v>
      </c>
      <c r="C54" s="117" t="s">
        <v>239</v>
      </c>
      <c r="D54" s="86">
        <v>3</v>
      </c>
      <c r="E54" s="107">
        <f>7109*3</f>
        <v>21327</v>
      </c>
      <c r="F54" s="24">
        <v>5</v>
      </c>
      <c r="G54" s="107">
        <v>28430</v>
      </c>
      <c r="H54" s="26"/>
    </row>
    <row r="55" spans="1:8" x14ac:dyDescent="0.25">
      <c r="A55" s="23"/>
      <c r="B55" s="25" t="s">
        <v>175</v>
      </c>
      <c r="C55" s="117">
        <v>5</v>
      </c>
      <c r="D55" s="86">
        <v>1</v>
      </c>
      <c r="E55" s="107">
        <v>96876</v>
      </c>
      <c r="F55" s="24">
        <v>1</v>
      </c>
      <c r="G55" s="107">
        <v>96876</v>
      </c>
      <c r="H55" s="26"/>
    </row>
    <row r="56" spans="1:8" x14ac:dyDescent="0.25">
      <c r="A56" s="23"/>
      <c r="B56" s="25" t="s">
        <v>176</v>
      </c>
      <c r="C56" s="117">
        <v>5</v>
      </c>
      <c r="D56" s="86">
        <v>1</v>
      </c>
      <c r="E56" s="107">
        <v>92112</v>
      </c>
      <c r="F56" s="24">
        <v>1</v>
      </c>
      <c r="G56" s="107">
        <v>96876</v>
      </c>
      <c r="H56" s="26"/>
    </row>
    <row r="57" spans="1:8" x14ac:dyDescent="0.25">
      <c r="A57" s="23"/>
      <c r="B57" s="25" t="s">
        <v>177</v>
      </c>
      <c r="C57" s="117">
        <v>5</v>
      </c>
      <c r="D57" s="86">
        <v>1</v>
      </c>
      <c r="E57" s="107">
        <v>96876</v>
      </c>
      <c r="F57" s="24">
        <v>1</v>
      </c>
      <c r="G57" s="107">
        <v>96876</v>
      </c>
      <c r="H57" s="26"/>
    </row>
    <row r="58" spans="1:8" x14ac:dyDescent="0.25">
      <c r="A58" s="23"/>
      <c r="B58" s="25" t="s">
        <v>178</v>
      </c>
      <c r="C58" s="117">
        <v>8</v>
      </c>
      <c r="D58" s="86">
        <v>1</v>
      </c>
      <c r="E58" s="107">
        <v>37675</v>
      </c>
      <c r="F58" s="24">
        <v>1</v>
      </c>
      <c r="G58" s="107">
        <v>76116</v>
      </c>
      <c r="H58" s="26"/>
    </row>
    <row r="59" spans="1:8" x14ac:dyDescent="0.25">
      <c r="A59" s="23"/>
      <c r="B59" s="25" t="s">
        <v>179</v>
      </c>
      <c r="C59" s="117">
        <v>8</v>
      </c>
      <c r="D59" s="86">
        <v>17</v>
      </c>
      <c r="E59" s="107">
        <v>1227556.5</v>
      </c>
      <c r="F59" s="24">
        <v>18</v>
      </c>
      <c r="G59" s="107">
        <v>1287268</v>
      </c>
      <c r="H59" s="26"/>
    </row>
    <row r="60" spans="1:8" x14ac:dyDescent="0.25">
      <c r="A60" s="23"/>
      <c r="B60" s="25" t="s">
        <v>180</v>
      </c>
      <c r="C60" s="117">
        <v>7</v>
      </c>
      <c r="D60" s="86">
        <v>11</v>
      </c>
      <c r="E60" s="107">
        <v>802638</v>
      </c>
      <c r="F60" s="24">
        <v>11</v>
      </c>
      <c r="G60" s="107">
        <v>788524</v>
      </c>
      <c r="H60" s="26"/>
    </row>
    <row r="61" spans="1:8" x14ac:dyDescent="0.25">
      <c r="A61" s="23"/>
      <c r="B61" s="25" t="s">
        <v>181</v>
      </c>
      <c r="C61" s="117">
        <v>12</v>
      </c>
      <c r="D61" s="86">
        <v>4</v>
      </c>
      <c r="E61" s="107">
        <v>211344</v>
      </c>
      <c r="F61" s="24">
        <v>4</v>
      </c>
      <c r="G61" s="107">
        <v>211344</v>
      </c>
      <c r="H61" s="26"/>
    </row>
    <row r="62" spans="1:8" x14ac:dyDescent="0.25">
      <c r="A62" s="23"/>
      <c r="B62" s="25" t="s">
        <v>182</v>
      </c>
      <c r="C62" s="117">
        <v>15</v>
      </c>
      <c r="D62" s="86">
        <v>4</v>
      </c>
      <c r="E62" s="107">
        <v>172140</v>
      </c>
      <c r="F62" s="24">
        <v>5</v>
      </c>
      <c r="G62" s="107">
        <v>208332</v>
      </c>
      <c r="H62" s="26"/>
    </row>
    <row r="63" spans="1:8" x14ac:dyDescent="0.25">
      <c r="A63" s="23"/>
      <c r="B63" s="25" t="s">
        <v>183</v>
      </c>
      <c r="C63" s="117">
        <v>7</v>
      </c>
      <c r="D63" s="86">
        <v>1</v>
      </c>
      <c r="E63" s="107">
        <v>77664</v>
      </c>
      <c r="F63" s="24">
        <v>0</v>
      </c>
      <c r="G63" s="107">
        <v>0</v>
      </c>
      <c r="H63" s="26"/>
    </row>
    <row r="64" spans="1:8" x14ac:dyDescent="0.25">
      <c r="A64" s="23"/>
      <c r="B64" s="25" t="s">
        <v>184</v>
      </c>
      <c r="C64" s="117">
        <v>6</v>
      </c>
      <c r="D64" s="86">
        <v>1</v>
      </c>
      <c r="E64" s="107">
        <v>83292</v>
      </c>
      <c r="F64" s="24">
        <v>1</v>
      </c>
      <c r="G64" s="107">
        <v>83292</v>
      </c>
      <c r="H64" s="26"/>
    </row>
    <row r="65" spans="1:8" x14ac:dyDescent="0.25">
      <c r="A65" s="23"/>
      <c r="B65" s="25" t="s">
        <v>185</v>
      </c>
      <c r="C65" s="117">
        <v>5</v>
      </c>
      <c r="D65" s="86">
        <v>1</v>
      </c>
      <c r="E65" s="107">
        <v>94956</v>
      </c>
      <c r="F65" s="24">
        <v>1</v>
      </c>
      <c r="G65" s="107">
        <v>96684</v>
      </c>
      <c r="H65" s="26"/>
    </row>
    <row r="66" spans="1:8" x14ac:dyDescent="0.25">
      <c r="A66" s="23"/>
      <c r="B66" s="25" t="s">
        <v>186</v>
      </c>
      <c r="C66" s="117">
        <v>7</v>
      </c>
      <c r="D66" s="86">
        <v>3</v>
      </c>
      <c r="E66" s="107">
        <v>230652</v>
      </c>
      <c r="F66" s="24">
        <v>3</v>
      </c>
      <c r="G66" s="107">
        <v>232992</v>
      </c>
      <c r="H66" s="26"/>
    </row>
    <row r="67" spans="1:8" x14ac:dyDescent="0.25">
      <c r="A67" s="23"/>
      <c r="B67" s="25" t="s">
        <v>187</v>
      </c>
      <c r="C67" s="117">
        <v>5</v>
      </c>
      <c r="D67" s="86">
        <v>1</v>
      </c>
      <c r="E67" s="107">
        <v>96876</v>
      </c>
      <c r="F67" s="24">
        <v>1</v>
      </c>
      <c r="G67" s="107">
        <v>96876</v>
      </c>
      <c r="H67" s="26"/>
    </row>
    <row r="68" spans="1:8" x14ac:dyDescent="0.25">
      <c r="A68" s="23"/>
      <c r="B68" s="25" t="s">
        <v>188</v>
      </c>
      <c r="C68" s="117">
        <v>10</v>
      </c>
      <c r="D68" s="86">
        <v>1</v>
      </c>
      <c r="E68" s="107">
        <v>57444</v>
      </c>
      <c r="F68" s="24">
        <v>1</v>
      </c>
      <c r="G68" s="107">
        <v>57444</v>
      </c>
      <c r="H68" s="26"/>
    </row>
    <row r="69" spans="1:8" x14ac:dyDescent="0.25">
      <c r="A69" s="23"/>
      <c r="B69" s="25" t="s">
        <v>189</v>
      </c>
      <c r="C69" s="117">
        <v>15</v>
      </c>
      <c r="D69" s="86">
        <v>13</v>
      </c>
      <c r="E69" s="107">
        <v>599736</v>
      </c>
      <c r="F69" s="24">
        <v>13</v>
      </c>
      <c r="G69" s="107">
        <v>599736</v>
      </c>
      <c r="H69" s="26"/>
    </row>
    <row r="70" spans="1:8" x14ac:dyDescent="0.25">
      <c r="A70" s="23"/>
      <c r="B70" s="25" t="s">
        <v>190</v>
      </c>
      <c r="C70" s="117">
        <v>5</v>
      </c>
      <c r="D70" s="86">
        <v>1</v>
      </c>
      <c r="E70" s="107">
        <v>94956</v>
      </c>
      <c r="F70" s="24">
        <v>1</v>
      </c>
      <c r="G70" s="107">
        <v>99672</v>
      </c>
      <c r="H70" s="26"/>
    </row>
    <row r="71" spans="1:8" x14ac:dyDescent="0.25">
      <c r="A71" s="23"/>
      <c r="B71" s="25" t="s">
        <v>191</v>
      </c>
      <c r="C71" s="117">
        <v>7</v>
      </c>
      <c r="D71" s="86">
        <v>2</v>
      </c>
      <c r="E71" s="107">
        <v>153378</v>
      </c>
      <c r="F71" s="24">
        <v>3</v>
      </c>
      <c r="G71" s="107">
        <v>220048</v>
      </c>
      <c r="H71" s="26"/>
    </row>
    <row r="72" spans="1:8" x14ac:dyDescent="0.25">
      <c r="A72" s="23"/>
      <c r="B72" s="25" t="s">
        <v>192</v>
      </c>
      <c r="C72" s="117">
        <v>10</v>
      </c>
      <c r="D72" s="86">
        <v>1</v>
      </c>
      <c r="E72" s="107">
        <v>60396</v>
      </c>
      <c r="F72" s="24">
        <v>1</v>
      </c>
      <c r="G72" s="107">
        <v>60396</v>
      </c>
      <c r="H72" s="26"/>
    </row>
    <row r="73" spans="1:8" x14ac:dyDescent="0.25">
      <c r="A73" s="23"/>
      <c r="B73" s="25" t="s">
        <v>193</v>
      </c>
      <c r="C73" s="117">
        <v>13</v>
      </c>
      <c r="D73" s="86">
        <v>3</v>
      </c>
      <c r="E73" s="107">
        <v>143004</v>
      </c>
      <c r="F73" s="24">
        <v>3</v>
      </c>
      <c r="G73" s="107">
        <v>143004</v>
      </c>
      <c r="H73" s="26"/>
    </row>
    <row r="74" spans="1:8" x14ac:dyDescent="0.25">
      <c r="A74" s="23"/>
      <c r="B74" s="25" t="s">
        <v>194</v>
      </c>
      <c r="C74" s="117">
        <v>14</v>
      </c>
      <c r="D74" s="86">
        <v>4</v>
      </c>
      <c r="E74" s="107">
        <v>158448</v>
      </c>
      <c r="F74" s="24">
        <v>4</v>
      </c>
      <c r="G74" s="107">
        <v>158448</v>
      </c>
      <c r="H74" s="26"/>
    </row>
    <row r="75" spans="1:8" x14ac:dyDescent="0.25">
      <c r="A75" s="23"/>
      <c r="B75" s="25" t="s">
        <v>195</v>
      </c>
      <c r="C75" s="117">
        <v>3</v>
      </c>
      <c r="D75" s="86">
        <v>1</v>
      </c>
      <c r="E75" s="107">
        <v>216132</v>
      </c>
      <c r="F75" s="24">
        <v>1</v>
      </c>
      <c r="G75" s="107">
        <v>216132</v>
      </c>
      <c r="H75" s="26"/>
    </row>
    <row r="76" spans="1:8" x14ac:dyDescent="0.25">
      <c r="A76" s="23"/>
      <c r="B76" s="25" t="s">
        <v>196</v>
      </c>
      <c r="C76" s="117">
        <v>7</v>
      </c>
      <c r="D76" s="86">
        <v>3</v>
      </c>
      <c r="E76" s="107">
        <v>235656</v>
      </c>
      <c r="F76" s="24">
        <v>3</v>
      </c>
      <c r="G76" s="107">
        <v>235656</v>
      </c>
      <c r="H76" s="26"/>
    </row>
    <row r="77" spans="1:8" x14ac:dyDescent="0.25">
      <c r="A77" s="23"/>
      <c r="B77" s="25" t="s">
        <v>197</v>
      </c>
      <c r="C77" s="117">
        <v>15</v>
      </c>
      <c r="D77" s="86">
        <v>1</v>
      </c>
      <c r="E77" s="107">
        <v>39204</v>
      </c>
      <c r="F77" s="24">
        <v>1</v>
      </c>
      <c r="G77" s="107">
        <v>39204</v>
      </c>
      <c r="H77" s="26"/>
    </row>
    <row r="78" spans="1:8" x14ac:dyDescent="0.25">
      <c r="A78" s="23"/>
      <c r="B78" s="25" t="s">
        <v>198</v>
      </c>
      <c r="C78" s="117">
        <v>5</v>
      </c>
      <c r="D78" s="86">
        <v>1</v>
      </c>
      <c r="E78" s="107">
        <v>99672</v>
      </c>
      <c r="F78" s="24">
        <v>1</v>
      </c>
      <c r="G78" s="107">
        <v>99672</v>
      </c>
      <c r="H78" s="26"/>
    </row>
    <row r="79" spans="1:8" x14ac:dyDescent="0.25">
      <c r="A79" s="23"/>
      <c r="B79" s="25" t="s">
        <v>199</v>
      </c>
      <c r="C79" s="117">
        <v>14</v>
      </c>
      <c r="D79" s="86">
        <v>1</v>
      </c>
      <c r="E79" s="107">
        <v>49404</v>
      </c>
      <c r="F79" s="24">
        <v>1</v>
      </c>
      <c r="G79" s="107">
        <v>49404</v>
      </c>
      <c r="H79" s="26"/>
    </row>
    <row r="80" spans="1:8" x14ac:dyDescent="0.25">
      <c r="A80" s="23"/>
      <c r="B80" s="25" t="s">
        <v>200</v>
      </c>
      <c r="C80" s="117">
        <v>7</v>
      </c>
      <c r="D80" s="86">
        <v>4</v>
      </c>
      <c r="E80" s="107">
        <v>305208</v>
      </c>
      <c r="F80" s="24">
        <v>2</v>
      </c>
      <c r="G80" s="107">
        <v>154560</v>
      </c>
      <c r="H80" s="26"/>
    </row>
    <row r="81" spans="1:8" x14ac:dyDescent="0.25">
      <c r="A81" s="23"/>
      <c r="B81" s="25" t="s">
        <v>201</v>
      </c>
      <c r="C81" s="117">
        <v>13</v>
      </c>
      <c r="D81" s="86">
        <v>1</v>
      </c>
      <c r="E81" s="107">
        <v>43356</v>
      </c>
      <c r="F81" s="24">
        <v>1</v>
      </c>
      <c r="G81" s="107">
        <v>1.2</v>
      </c>
      <c r="H81" s="26"/>
    </row>
    <row r="82" spans="1:8" x14ac:dyDescent="0.25">
      <c r="A82" s="23"/>
      <c r="B82" s="25" t="s">
        <v>202</v>
      </c>
      <c r="C82" s="117">
        <v>6</v>
      </c>
      <c r="D82" s="86">
        <v>1</v>
      </c>
      <c r="E82" s="107">
        <v>93048</v>
      </c>
      <c r="F82" s="24">
        <v>1</v>
      </c>
      <c r="G82" s="107">
        <v>93048</v>
      </c>
      <c r="H82" s="26"/>
    </row>
    <row r="83" spans="1:8" x14ac:dyDescent="0.25">
      <c r="A83" s="23"/>
      <c r="B83" s="25" t="s">
        <v>203</v>
      </c>
      <c r="C83" s="117">
        <v>9</v>
      </c>
      <c r="D83" s="86">
        <v>2</v>
      </c>
      <c r="E83" s="107">
        <v>127032</v>
      </c>
      <c r="F83" s="24">
        <v>2</v>
      </c>
      <c r="G83" s="107">
        <v>90004</v>
      </c>
      <c r="H83" s="26"/>
    </row>
    <row r="84" spans="1:8" x14ac:dyDescent="0.25">
      <c r="A84" s="23"/>
      <c r="B84" s="25" t="s">
        <v>204</v>
      </c>
      <c r="C84" s="117">
        <v>13</v>
      </c>
      <c r="D84" s="86">
        <v>8</v>
      </c>
      <c r="E84" s="107">
        <v>388476</v>
      </c>
      <c r="F84" s="24">
        <v>8</v>
      </c>
      <c r="G84" s="107">
        <v>361818</v>
      </c>
      <c r="H84" s="26"/>
    </row>
    <row r="85" spans="1:8" x14ac:dyDescent="0.25">
      <c r="A85" s="23"/>
      <c r="B85" s="25" t="s">
        <v>205</v>
      </c>
      <c r="C85" s="117">
        <v>4</v>
      </c>
      <c r="D85" s="86">
        <v>9</v>
      </c>
      <c r="E85" s="107">
        <v>1585804</v>
      </c>
      <c r="F85" s="24">
        <v>9</v>
      </c>
      <c r="G85" s="107">
        <v>1767120</v>
      </c>
      <c r="H85" s="26"/>
    </row>
    <row r="86" spans="1:8" x14ac:dyDescent="0.25">
      <c r="A86" s="23"/>
      <c r="B86" s="25" t="s">
        <v>206</v>
      </c>
      <c r="C86" s="117">
        <v>4</v>
      </c>
      <c r="D86" s="86">
        <v>1</v>
      </c>
      <c r="E86" s="107">
        <v>166008</v>
      </c>
      <c r="F86" s="24">
        <v>1</v>
      </c>
      <c r="G86" s="107">
        <v>164904</v>
      </c>
      <c r="H86" s="26"/>
    </row>
    <row r="87" spans="1:8" x14ac:dyDescent="0.25">
      <c r="A87" s="23"/>
      <c r="B87" s="25" t="s">
        <v>207</v>
      </c>
      <c r="C87" s="117">
        <v>3</v>
      </c>
      <c r="D87" s="86">
        <v>2</v>
      </c>
      <c r="E87" s="107">
        <v>355332</v>
      </c>
      <c r="F87" s="24">
        <v>2</v>
      </c>
      <c r="G87" s="107">
        <v>357792</v>
      </c>
      <c r="H87" s="26"/>
    </row>
    <row r="88" spans="1:8" x14ac:dyDescent="0.25">
      <c r="A88" s="23"/>
      <c r="B88" s="25" t="s">
        <v>208</v>
      </c>
      <c r="C88" s="117">
        <v>3</v>
      </c>
      <c r="D88" s="86">
        <v>2</v>
      </c>
      <c r="E88" s="107">
        <v>431004</v>
      </c>
      <c r="F88" s="24">
        <v>1</v>
      </c>
      <c r="G88" s="107">
        <v>216132</v>
      </c>
      <c r="H88" s="26"/>
    </row>
    <row r="89" spans="1:8" x14ac:dyDescent="0.25">
      <c r="A89" s="23"/>
      <c r="B89" s="25" t="s">
        <v>209</v>
      </c>
      <c r="C89" s="117">
        <v>3</v>
      </c>
      <c r="D89" s="86">
        <v>1</v>
      </c>
      <c r="E89" s="107">
        <v>212400</v>
      </c>
      <c r="F89" s="24">
        <v>1</v>
      </c>
      <c r="G89" s="107">
        <v>217332</v>
      </c>
      <c r="H89" s="26"/>
    </row>
    <row r="90" spans="1:8" x14ac:dyDescent="0.25">
      <c r="A90" s="23"/>
      <c r="B90" s="25" t="s">
        <v>210</v>
      </c>
      <c r="C90" s="117">
        <v>3</v>
      </c>
      <c r="D90" s="86">
        <v>1</v>
      </c>
      <c r="E90" s="107">
        <v>233667</v>
      </c>
      <c r="F90" s="24">
        <v>1</v>
      </c>
      <c r="G90" s="107">
        <v>233667</v>
      </c>
      <c r="H90" s="26"/>
    </row>
    <row r="91" spans="1:8" x14ac:dyDescent="0.25">
      <c r="A91" s="23"/>
      <c r="B91" s="25" t="s">
        <v>211</v>
      </c>
      <c r="C91" s="117">
        <v>3</v>
      </c>
      <c r="D91" s="86">
        <v>1</v>
      </c>
      <c r="E91" s="107">
        <v>213624</v>
      </c>
      <c r="F91" s="24">
        <v>1</v>
      </c>
      <c r="G91" s="107">
        <v>212400</v>
      </c>
      <c r="H91" s="26"/>
    </row>
    <row r="92" spans="1:8" x14ac:dyDescent="0.25">
      <c r="A92" s="23"/>
      <c r="B92" s="25" t="s">
        <v>212</v>
      </c>
      <c r="C92" s="117">
        <v>3</v>
      </c>
      <c r="D92" s="86">
        <v>1</v>
      </c>
      <c r="E92" s="107">
        <v>213624</v>
      </c>
      <c r="F92" s="24">
        <v>1</v>
      </c>
      <c r="G92" s="107">
        <v>0</v>
      </c>
      <c r="H92" s="26"/>
    </row>
    <row r="93" spans="1:8" x14ac:dyDescent="0.25">
      <c r="A93" s="23"/>
      <c r="B93" s="25" t="s">
        <v>213</v>
      </c>
      <c r="C93" s="117" t="s">
        <v>240</v>
      </c>
      <c r="D93" s="86">
        <v>1</v>
      </c>
      <c r="E93" s="107">
        <v>0</v>
      </c>
      <c r="F93" s="24">
        <v>1</v>
      </c>
      <c r="G93" s="107">
        <v>0</v>
      </c>
      <c r="H93" s="26"/>
    </row>
    <row r="94" spans="1:8" x14ac:dyDescent="0.25">
      <c r="A94" s="23"/>
      <c r="B94" s="25" t="s">
        <v>214</v>
      </c>
      <c r="C94" s="117">
        <v>14</v>
      </c>
      <c r="D94" s="86">
        <v>4</v>
      </c>
      <c r="E94" s="107">
        <v>145750.79999999999</v>
      </c>
      <c r="F94" s="24">
        <v>3</v>
      </c>
      <c r="G94" s="107">
        <v>118836</v>
      </c>
      <c r="H94" s="26"/>
    </row>
    <row r="95" spans="1:8" x14ac:dyDescent="0.25">
      <c r="A95" s="23"/>
      <c r="B95" s="25" t="s">
        <v>215</v>
      </c>
      <c r="C95" s="117">
        <v>4</v>
      </c>
      <c r="D95" s="86">
        <v>1</v>
      </c>
      <c r="E95" s="107">
        <v>180132</v>
      </c>
      <c r="F95" s="24">
        <v>2</v>
      </c>
      <c r="G95" s="107">
        <v>343908.99999600003</v>
      </c>
      <c r="H95" s="26"/>
    </row>
    <row r="96" spans="1:8" x14ac:dyDescent="0.25">
      <c r="A96" s="23"/>
      <c r="B96" s="25" t="s">
        <v>216</v>
      </c>
      <c r="C96" s="117">
        <v>11</v>
      </c>
      <c r="D96" s="86">
        <v>3</v>
      </c>
      <c r="E96" s="107">
        <v>122556</v>
      </c>
      <c r="F96" s="24">
        <v>3</v>
      </c>
      <c r="G96" s="107">
        <v>122556</v>
      </c>
      <c r="H96" s="26"/>
    </row>
    <row r="97" spans="1:8" x14ac:dyDescent="0.25">
      <c r="A97" s="23"/>
      <c r="B97" s="25" t="s">
        <v>217</v>
      </c>
      <c r="C97" s="117">
        <v>13</v>
      </c>
      <c r="D97" s="86">
        <v>1</v>
      </c>
      <c r="E97" s="107">
        <v>47472</v>
      </c>
      <c r="F97" s="24">
        <v>1</v>
      </c>
      <c r="G97" s="107">
        <v>47472</v>
      </c>
      <c r="H97" s="26"/>
    </row>
    <row r="98" spans="1:8" x14ac:dyDescent="0.25">
      <c r="A98" s="23"/>
      <c r="B98" s="25" t="s">
        <v>218</v>
      </c>
      <c r="C98" s="117">
        <v>3</v>
      </c>
      <c r="D98" s="86">
        <v>1</v>
      </c>
      <c r="E98" s="107">
        <v>211200</v>
      </c>
      <c r="F98" s="24">
        <v>1</v>
      </c>
      <c r="G98" s="107">
        <v>222516</v>
      </c>
      <c r="H98" s="26"/>
    </row>
    <row r="99" spans="1:8" x14ac:dyDescent="0.25">
      <c r="A99" s="23"/>
      <c r="B99" s="25" t="s">
        <v>219</v>
      </c>
      <c r="C99" s="117">
        <v>6</v>
      </c>
      <c r="D99" s="86">
        <v>1</v>
      </c>
      <c r="E99" s="107">
        <v>85872</v>
      </c>
      <c r="F99" s="24">
        <v>1</v>
      </c>
      <c r="G99" s="107">
        <v>85872</v>
      </c>
      <c r="H99" s="26"/>
    </row>
    <row r="100" spans="1:8" x14ac:dyDescent="0.25">
      <c r="A100" s="23"/>
      <c r="B100" s="25" t="s">
        <v>220</v>
      </c>
      <c r="C100" s="117">
        <v>8</v>
      </c>
      <c r="D100" s="86">
        <v>3</v>
      </c>
      <c r="E100" s="107">
        <v>228312</v>
      </c>
      <c r="F100" s="24">
        <v>3</v>
      </c>
      <c r="G100" s="107">
        <v>228312</v>
      </c>
      <c r="H100" s="26"/>
    </row>
    <row r="101" spans="1:8" x14ac:dyDescent="0.25">
      <c r="A101" s="23"/>
      <c r="B101" s="25" t="s">
        <v>221</v>
      </c>
      <c r="C101" s="117">
        <v>14</v>
      </c>
      <c r="D101" s="86">
        <v>1</v>
      </c>
      <c r="E101" s="107">
        <v>39612</v>
      </c>
      <c r="F101" s="24">
        <v>1</v>
      </c>
      <c r="G101" s="107">
        <v>39612</v>
      </c>
      <c r="H101" s="26"/>
    </row>
    <row r="102" spans="1:8" x14ac:dyDescent="0.25">
      <c r="A102" s="23"/>
      <c r="B102" s="25" t="s">
        <v>222</v>
      </c>
      <c r="C102" s="117">
        <v>5</v>
      </c>
      <c r="D102" s="86">
        <v>1</v>
      </c>
      <c r="E102" s="107">
        <v>94956</v>
      </c>
      <c r="F102" s="24">
        <v>1</v>
      </c>
      <c r="G102" s="107">
        <v>94956</v>
      </c>
      <c r="H102" s="26"/>
    </row>
    <row r="103" spans="1:8" x14ac:dyDescent="0.25">
      <c r="A103" s="23"/>
      <c r="B103" s="25" t="s">
        <v>223</v>
      </c>
      <c r="C103" s="117">
        <v>6</v>
      </c>
      <c r="D103" s="86">
        <v>1</v>
      </c>
      <c r="E103" s="107">
        <v>93984</v>
      </c>
      <c r="F103" s="24">
        <v>1</v>
      </c>
      <c r="G103" s="107">
        <v>93984</v>
      </c>
      <c r="H103" s="26"/>
    </row>
    <row r="104" spans="1:8" x14ac:dyDescent="0.25">
      <c r="A104" s="23"/>
      <c r="B104" s="25" t="s">
        <v>224</v>
      </c>
      <c r="C104" s="117">
        <v>11</v>
      </c>
      <c r="D104" s="86">
        <v>1</v>
      </c>
      <c r="E104" s="107">
        <v>54624</v>
      </c>
      <c r="F104" s="24">
        <v>1</v>
      </c>
      <c r="G104" s="107">
        <v>54624</v>
      </c>
      <c r="H104" s="26"/>
    </row>
    <row r="105" spans="1:8" x14ac:dyDescent="0.25">
      <c r="A105" s="23"/>
      <c r="B105" s="25" t="s">
        <v>225</v>
      </c>
      <c r="C105" s="117">
        <v>6</v>
      </c>
      <c r="D105" s="86">
        <v>1</v>
      </c>
      <c r="E105" s="107">
        <v>85872</v>
      </c>
      <c r="F105" s="24">
        <v>1</v>
      </c>
      <c r="G105" s="107">
        <v>85872</v>
      </c>
      <c r="H105" s="26"/>
    </row>
    <row r="106" spans="1:8" x14ac:dyDescent="0.25">
      <c r="A106" s="23"/>
      <c r="B106" s="25" t="s">
        <v>226</v>
      </c>
      <c r="C106" s="117">
        <v>11</v>
      </c>
      <c r="D106" s="86">
        <v>3</v>
      </c>
      <c r="E106" s="107">
        <v>157392</v>
      </c>
      <c r="F106" s="24">
        <v>3</v>
      </c>
      <c r="G106" s="107">
        <v>157392</v>
      </c>
      <c r="H106" s="26"/>
    </row>
    <row r="107" spans="1:8" x14ac:dyDescent="0.25">
      <c r="A107" s="23"/>
      <c r="B107" s="25" t="s">
        <v>227</v>
      </c>
      <c r="C107" s="117">
        <v>6</v>
      </c>
      <c r="D107" s="86">
        <v>1</v>
      </c>
      <c r="E107" s="107">
        <v>93048</v>
      </c>
      <c r="F107" s="24">
        <v>1</v>
      </c>
      <c r="G107" s="107">
        <v>93048</v>
      </c>
      <c r="H107" s="26"/>
    </row>
    <row r="108" spans="1:8" x14ac:dyDescent="0.25">
      <c r="A108" s="23"/>
      <c r="B108" s="25" t="s">
        <v>228</v>
      </c>
      <c r="C108" s="117">
        <v>8</v>
      </c>
      <c r="D108" s="86">
        <v>1</v>
      </c>
      <c r="E108" s="107">
        <v>70236</v>
      </c>
      <c r="F108" s="24">
        <v>1</v>
      </c>
      <c r="G108" s="107">
        <v>70236</v>
      </c>
      <c r="H108" s="26"/>
    </row>
    <row r="109" spans="1:8" x14ac:dyDescent="0.25">
      <c r="A109" s="23"/>
      <c r="B109" s="124" t="s">
        <v>140</v>
      </c>
      <c r="C109" s="117">
        <v>15</v>
      </c>
      <c r="D109" s="87">
        <v>1</v>
      </c>
      <c r="E109" s="109">
        <v>36192</v>
      </c>
      <c r="F109" s="27">
        <v>1</v>
      </c>
      <c r="G109" s="109">
        <v>36192</v>
      </c>
      <c r="H109" s="26"/>
    </row>
    <row r="110" spans="1:8" x14ac:dyDescent="0.25">
      <c r="A110" s="23"/>
      <c r="B110" s="25" t="s">
        <v>229</v>
      </c>
      <c r="C110" s="119">
        <v>10</v>
      </c>
      <c r="D110" s="88">
        <v>0</v>
      </c>
      <c r="E110" s="109">
        <v>0</v>
      </c>
      <c r="F110" s="28">
        <v>1</v>
      </c>
      <c r="G110" s="109">
        <v>57444</v>
      </c>
      <c r="H110" s="26"/>
    </row>
    <row r="111" spans="1:8" x14ac:dyDescent="0.25">
      <c r="A111" s="23"/>
      <c r="B111" s="25" t="s">
        <v>230</v>
      </c>
      <c r="C111" s="119">
        <v>9</v>
      </c>
      <c r="D111" s="88">
        <v>1</v>
      </c>
      <c r="E111" s="109">
        <v>62268</v>
      </c>
      <c r="F111" s="28">
        <v>1</v>
      </c>
      <c r="G111" s="109">
        <v>62268</v>
      </c>
      <c r="H111" s="26"/>
    </row>
    <row r="112" spans="1:8" x14ac:dyDescent="0.25">
      <c r="A112" s="23"/>
      <c r="B112" s="25" t="s">
        <v>231</v>
      </c>
      <c r="C112" s="119">
        <v>13</v>
      </c>
      <c r="D112" s="88">
        <v>10</v>
      </c>
      <c r="E112" s="109">
        <v>463752</v>
      </c>
      <c r="F112" s="28">
        <v>9</v>
      </c>
      <c r="G112" s="109">
        <v>420396</v>
      </c>
      <c r="H112" s="26"/>
    </row>
    <row r="113" spans="1:8" x14ac:dyDescent="0.25">
      <c r="A113" s="23"/>
      <c r="B113" s="25" t="s">
        <v>232</v>
      </c>
      <c r="C113" s="119">
        <v>16</v>
      </c>
      <c r="D113" s="88">
        <v>2</v>
      </c>
      <c r="E113" s="109">
        <v>92112</v>
      </c>
      <c r="F113" s="28">
        <v>2</v>
      </c>
      <c r="G113" s="109">
        <v>92112</v>
      </c>
      <c r="H113" s="26"/>
    </row>
    <row r="114" spans="1:8" x14ac:dyDescent="0.25">
      <c r="A114" s="23"/>
      <c r="B114" s="25" t="s">
        <v>233</v>
      </c>
      <c r="C114" s="119">
        <v>6</v>
      </c>
      <c r="D114" s="88">
        <v>1</v>
      </c>
      <c r="E114" s="109">
        <v>85872</v>
      </c>
      <c r="F114" s="28">
        <v>1</v>
      </c>
      <c r="G114" s="109">
        <v>85872</v>
      </c>
      <c r="H114" s="26"/>
    </row>
    <row r="115" spans="1:8" x14ac:dyDescent="0.25">
      <c r="A115" s="23"/>
      <c r="B115" s="25" t="s">
        <v>234</v>
      </c>
      <c r="C115" s="119">
        <v>12</v>
      </c>
      <c r="D115" s="88">
        <v>3</v>
      </c>
      <c r="E115" s="109">
        <v>145848</v>
      </c>
      <c r="F115" s="28">
        <v>3</v>
      </c>
      <c r="G115" s="109">
        <v>145848</v>
      </c>
      <c r="H115" s="26"/>
    </row>
    <row r="116" spans="1:8" x14ac:dyDescent="0.25">
      <c r="A116" s="23"/>
      <c r="B116" s="25" t="s">
        <v>235</v>
      </c>
      <c r="C116" s="119">
        <v>15</v>
      </c>
      <c r="D116" s="88">
        <v>3</v>
      </c>
      <c r="E116" s="109">
        <v>121176</v>
      </c>
      <c r="F116" s="28">
        <v>3</v>
      </c>
      <c r="G116" s="109">
        <v>121176</v>
      </c>
      <c r="H116" s="26"/>
    </row>
    <row r="117" spans="1:8" x14ac:dyDescent="0.25">
      <c r="A117" s="23"/>
      <c r="B117" s="25" t="s">
        <v>236</v>
      </c>
      <c r="C117" s="119">
        <v>10</v>
      </c>
      <c r="D117" s="88">
        <v>1</v>
      </c>
      <c r="E117" s="109">
        <v>68832</v>
      </c>
      <c r="F117" s="28">
        <v>1</v>
      </c>
      <c r="G117" s="109">
        <v>68832</v>
      </c>
      <c r="H117" s="26"/>
    </row>
    <row r="118" spans="1:8" x14ac:dyDescent="0.25">
      <c r="A118" s="23"/>
      <c r="B118" s="25" t="s">
        <v>237</v>
      </c>
      <c r="C118" s="119">
        <v>15</v>
      </c>
      <c r="D118" s="88">
        <v>6</v>
      </c>
      <c r="E118" s="109">
        <v>279120</v>
      </c>
      <c r="F118" s="28">
        <v>6</v>
      </c>
      <c r="G118" s="109">
        <v>279120</v>
      </c>
      <c r="H118" s="26"/>
    </row>
    <row r="119" spans="1:8" x14ac:dyDescent="0.25">
      <c r="A119" s="23"/>
      <c r="B119" s="81" t="s">
        <v>238</v>
      </c>
      <c r="C119" s="119" t="s">
        <v>240</v>
      </c>
      <c r="D119" s="86">
        <v>4</v>
      </c>
      <c r="E119" s="110">
        <f>21715.2+53321.4+37360.8</f>
        <v>112397.40000000001</v>
      </c>
      <c r="F119" s="24">
        <v>6</v>
      </c>
      <c r="G119" s="110">
        <f>21715.2+43430.4+31606+37356+29457</f>
        <v>163564.6</v>
      </c>
    </row>
    <row r="120" spans="1:8" x14ac:dyDescent="0.25">
      <c r="A120" s="29"/>
      <c r="B120" s="82" t="s">
        <v>50</v>
      </c>
      <c r="C120" s="91"/>
      <c r="D120" s="89">
        <f>SUM(D8:D119)</f>
        <v>251</v>
      </c>
      <c r="E120" s="111">
        <f>SUM(E8:E119)</f>
        <v>18128966.93</v>
      </c>
      <c r="F120" s="30">
        <f>SUM(F8:F119)</f>
        <v>247</v>
      </c>
      <c r="G120" s="111">
        <f>SUM(G8:G119)</f>
        <v>17668969.799996004</v>
      </c>
    </row>
    <row r="121" spans="1:8" x14ac:dyDescent="0.25">
      <c r="A121" s="23"/>
      <c r="B121" s="81"/>
      <c r="C121" s="119"/>
      <c r="D121" s="86"/>
      <c r="E121" s="110"/>
      <c r="F121" s="24"/>
      <c r="G121" s="110"/>
    </row>
    <row r="122" spans="1:8" x14ac:dyDescent="0.25">
      <c r="A122" s="23"/>
      <c r="B122" s="25" t="s">
        <v>55</v>
      </c>
      <c r="C122" s="117"/>
      <c r="D122" s="87"/>
      <c r="E122" s="109"/>
      <c r="F122" s="27"/>
      <c r="G122" s="109"/>
    </row>
    <row r="123" spans="1:8" x14ac:dyDescent="0.25">
      <c r="A123" s="23"/>
      <c r="B123" s="83" t="s">
        <v>51</v>
      </c>
      <c r="C123" s="120"/>
      <c r="D123" s="87"/>
      <c r="E123" s="107"/>
      <c r="F123" s="27"/>
      <c r="G123" s="107"/>
    </row>
    <row r="124" spans="1:8" x14ac:dyDescent="0.25">
      <c r="A124" s="23"/>
      <c r="B124" s="83"/>
      <c r="C124" s="120"/>
      <c r="D124" s="87"/>
      <c r="E124" s="107"/>
      <c r="F124" s="27"/>
      <c r="G124" s="107"/>
    </row>
    <row r="125" spans="1:8" x14ac:dyDescent="0.25">
      <c r="A125" s="29"/>
      <c r="B125" s="84" t="s">
        <v>52</v>
      </c>
      <c r="C125" s="91"/>
      <c r="D125" s="89">
        <f>SUM(D121:D124)</f>
        <v>0</v>
      </c>
      <c r="E125" s="111">
        <f>SUM(E121:E124)</f>
        <v>0</v>
      </c>
      <c r="F125" s="30">
        <f>SUM(F121:F124)</f>
        <v>0</v>
      </c>
      <c r="G125" s="111">
        <f>SUM(G121:G124)</f>
        <v>0</v>
      </c>
    </row>
    <row r="126" spans="1:8" x14ac:dyDescent="0.25">
      <c r="A126" s="23"/>
      <c r="B126" s="81"/>
      <c r="C126" s="119"/>
      <c r="D126" s="86"/>
      <c r="E126" s="110"/>
      <c r="F126" s="24"/>
      <c r="G126" s="110"/>
    </row>
    <row r="127" spans="1:8" ht="15.75" thickBot="1" x14ac:dyDescent="0.3">
      <c r="A127" s="31"/>
      <c r="B127" s="85" t="str">
        <f>B6</f>
        <v>Health Authority of Anguilla</v>
      </c>
      <c r="C127" s="121"/>
      <c r="D127" s="90">
        <f>+D125+D120</f>
        <v>251</v>
      </c>
      <c r="E127" s="112">
        <f>+E125+E120</f>
        <v>18128966.93</v>
      </c>
      <c r="F127" s="32">
        <f>+F125+F120</f>
        <v>247</v>
      </c>
      <c r="G127" s="112">
        <f>+G125+G120</f>
        <v>17668969.799996004</v>
      </c>
    </row>
    <row r="128" spans="1:8" x14ac:dyDescent="0.25">
      <c r="A128" s="33"/>
      <c r="B128" s="33"/>
      <c r="C128" s="122"/>
      <c r="D128" s="34"/>
      <c r="E128" s="113"/>
      <c r="F128" s="34"/>
      <c r="G128" s="113"/>
    </row>
  </sheetData>
  <sheetProtection algorithmName="SHA-512" hashValue="mBDJ39G63h9mlx5eUNCy2iRBEQAhRwzcE5vOvt23w4raFg9vMTQaSnfXxwASf8yadx6NvTnWXXF8OpC9KJbwjg==" saltValue="3LnoiGsJWIwGFc/MzjiejQ==" spinCount="100000" sheet="1" formatCells="0" formatColumns="0" formatRows="0" insertColumns="0" insertRows="0" insertHyperlinks="0" deleteColumns="0" deleteRows="0" autoFilter="0" pivotTables="0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3" workbookViewId="0">
      <selection activeCell="G23" sqref="G23:L23"/>
    </sheetView>
  </sheetViews>
  <sheetFormatPr defaultRowHeight="15" x14ac:dyDescent="0.25"/>
  <cols>
    <col min="1" max="1" width="9.28515625" style="56" bestFit="1" customWidth="1"/>
    <col min="2" max="3" width="9.140625" style="56"/>
    <col min="4" max="4" width="9.140625" style="56" customWidth="1"/>
    <col min="5" max="5" width="14.7109375" style="56" customWidth="1"/>
    <col min="6" max="6" width="12.5703125" style="56" customWidth="1"/>
    <col min="7" max="7" width="13.7109375" style="56" customWidth="1"/>
    <col min="8" max="8" width="11.28515625" style="56" bestFit="1" customWidth="1"/>
    <col min="9" max="9" width="14.5703125" style="56" customWidth="1"/>
    <col min="10" max="10" width="12.85546875" style="56" customWidth="1"/>
    <col min="11" max="12" width="14.5703125" style="56" customWidth="1"/>
  </cols>
  <sheetData>
    <row r="1" spans="1:14" s="25" customFormat="1" ht="15.75" x14ac:dyDescent="0.25">
      <c r="A1" s="141" t="s">
        <v>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4" s="25" customFormat="1" ht="15.75" x14ac:dyDescent="0.25">
      <c r="A2" s="142" t="s">
        <v>100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4" ht="15" customHeight="1" x14ac:dyDescent="0.25">
      <c r="A3" s="142" t="s">
        <v>54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4" ht="15" customHeight="1" thickBot="1" x14ac:dyDescent="0.3">
      <c r="A4" s="36"/>
      <c r="B4" s="37"/>
      <c r="C4" s="38"/>
      <c r="D4" s="39"/>
      <c r="E4" s="39"/>
      <c r="F4" s="40"/>
      <c r="G4" s="40"/>
      <c r="H4" s="40"/>
      <c r="I4" s="40"/>
      <c r="J4" s="40"/>
      <c r="K4" s="40"/>
      <c r="L4" s="40"/>
    </row>
    <row r="5" spans="1:14" ht="15" customHeight="1" x14ac:dyDescent="0.25">
      <c r="A5" s="143" t="s">
        <v>56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4" ht="15" customHeight="1" x14ac:dyDescent="0.25">
      <c r="A6" s="146" t="s">
        <v>57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8"/>
    </row>
    <row r="7" spans="1:14" ht="39" customHeight="1" x14ac:dyDescent="0.25">
      <c r="A7" s="138" t="s">
        <v>73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1:14" ht="15" customHeight="1" x14ac:dyDescent="0.25">
      <c r="A8" s="151" t="s">
        <v>58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4" ht="15" customHeight="1" x14ac:dyDescent="0.25">
      <c r="A9" s="154" t="s">
        <v>74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1:14" ht="15" customHeight="1" x14ac:dyDescent="0.25">
      <c r="A10" s="157" t="s">
        <v>75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</row>
    <row r="11" spans="1:14" ht="44.25" customHeight="1" x14ac:dyDescent="0.25">
      <c r="A11" s="72"/>
      <c r="B11" s="160" t="s">
        <v>59</v>
      </c>
      <c r="C11" s="160"/>
      <c r="D11" s="160"/>
      <c r="E11" s="160"/>
      <c r="F11" s="73">
        <v>2019</v>
      </c>
      <c r="G11" s="73" t="s">
        <v>76</v>
      </c>
      <c r="H11" s="73" t="s">
        <v>77</v>
      </c>
      <c r="I11" s="73" t="s">
        <v>78</v>
      </c>
      <c r="J11" s="73" t="s">
        <v>79</v>
      </c>
      <c r="K11" s="73" t="s">
        <v>80</v>
      </c>
      <c r="L11" s="74" t="s">
        <v>81</v>
      </c>
    </row>
    <row r="12" spans="1:14" ht="15" customHeight="1" x14ac:dyDescent="0.25">
      <c r="A12" s="161" t="s">
        <v>60</v>
      </c>
      <c r="B12" s="162"/>
      <c r="C12" s="162"/>
      <c r="D12" s="162"/>
      <c r="E12" s="162"/>
      <c r="F12" s="41">
        <f>'Statutory Body Budget'!B62</f>
        <v>31831559</v>
      </c>
      <c r="G12" s="41">
        <f>'Statutory Body Budget'!C62</f>
        <v>31924238</v>
      </c>
      <c r="H12" s="41">
        <f>'Statutory Body Budget'!D62</f>
        <v>0</v>
      </c>
      <c r="I12" s="41">
        <f>'Statutory Body Budget'!E62</f>
        <v>31150256.799999997</v>
      </c>
      <c r="J12" s="41">
        <f>'Statutory Body Budget'!F62</f>
        <v>34355271.837200001</v>
      </c>
      <c r="K12" s="41">
        <f>'Statutory Body Budget'!G62</f>
        <v>34600944.810605004</v>
      </c>
      <c r="L12" s="71">
        <f>'Statutory Body Budget'!H62</f>
        <v>34600944.810605004</v>
      </c>
    </row>
    <row r="13" spans="1:14" ht="15" customHeight="1" x14ac:dyDescent="0.25">
      <c r="A13" s="161" t="s">
        <v>61</v>
      </c>
      <c r="B13" s="162"/>
      <c r="C13" s="162"/>
      <c r="D13" s="162"/>
      <c r="E13" s="162"/>
      <c r="F13" s="41">
        <f>'Statutory Body Budget'!B64</f>
        <v>0</v>
      </c>
      <c r="G13" s="41">
        <f>'Statutory Body Budget'!C64</f>
        <v>5000</v>
      </c>
      <c r="H13" s="41">
        <f>'Statutory Body Budget'!D64</f>
        <v>0</v>
      </c>
      <c r="I13" s="41">
        <f>'Statutory Body Budget'!E64</f>
        <v>0</v>
      </c>
      <c r="J13" s="41">
        <f>'Statutory Body Budget'!F64</f>
        <v>0</v>
      </c>
      <c r="K13" s="41">
        <f>'Statutory Body Budget'!G64</f>
        <v>0</v>
      </c>
      <c r="L13" s="42">
        <f>'Statutory Body Budget'!H64</f>
        <v>0</v>
      </c>
      <c r="M13" s="25"/>
      <c r="N13" s="25"/>
    </row>
    <row r="14" spans="1:14" ht="15" customHeight="1" x14ac:dyDescent="0.25">
      <c r="A14" s="163" t="s">
        <v>62</v>
      </c>
      <c r="B14" s="164"/>
      <c r="C14" s="164"/>
      <c r="D14" s="164"/>
      <c r="E14" s="164"/>
      <c r="F14" s="77">
        <f t="shared" ref="F14:L14" si="0">F12+F13</f>
        <v>31831559</v>
      </c>
      <c r="G14" s="77">
        <f t="shared" si="0"/>
        <v>31929238</v>
      </c>
      <c r="H14" s="77">
        <f t="shared" si="0"/>
        <v>0</v>
      </c>
      <c r="I14" s="77">
        <f t="shared" si="0"/>
        <v>31150256.799999997</v>
      </c>
      <c r="J14" s="77">
        <f t="shared" si="0"/>
        <v>34355271.837200001</v>
      </c>
      <c r="K14" s="77">
        <f t="shared" si="0"/>
        <v>34600944.810605004</v>
      </c>
      <c r="L14" s="78">
        <f t="shared" si="0"/>
        <v>34600944.810605004</v>
      </c>
    </row>
    <row r="15" spans="1:14" ht="15" customHeight="1" x14ac:dyDescent="0.25">
      <c r="A15" s="165" t="s">
        <v>63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4" ht="15" customHeight="1" x14ac:dyDescent="0.25">
      <c r="A16" s="149" t="s">
        <v>64</v>
      </c>
      <c r="B16" s="150"/>
      <c r="C16" s="150"/>
      <c r="D16" s="150"/>
      <c r="E16" s="150"/>
      <c r="F16" s="43"/>
      <c r="G16" s="43"/>
      <c r="H16" s="43"/>
      <c r="I16" s="43"/>
      <c r="J16" s="43"/>
      <c r="K16" s="43"/>
      <c r="L16" s="44"/>
    </row>
    <row r="17" spans="1:12" ht="15" customHeight="1" x14ac:dyDescent="0.25">
      <c r="A17" s="149" t="s">
        <v>65</v>
      </c>
      <c r="B17" s="150"/>
      <c r="C17" s="150"/>
      <c r="D17" s="150"/>
      <c r="E17" s="150"/>
      <c r="F17" s="43"/>
      <c r="G17" s="43"/>
      <c r="H17" s="43"/>
      <c r="I17" s="43"/>
      <c r="J17" s="43"/>
      <c r="K17" s="43"/>
      <c r="L17" s="44"/>
    </row>
    <row r="18" spans="1:12" ht="15" customHeight="1" x14ac:dyDescent="0.25">
      <c r="A18" s="149" t="s">
        <v>66</v>
      </c>
      <c r="B18" s="150"/>
      <c r="C18" s="150"/>
      <c r="D18" s="150"/>
      <c r="E18" s="150"/>
      <c r="F18" s="43"/>
      <c r="G18" s="43"/>
      <c r="H18" s="43"/>
      <c r="I18" s="43"/>
      <c r="J18" s="43"/>
      <c r="K18" s="43"/>
      <c r="L18" s="44"/>
    </row>
    <row r="19" spans="1:12" ht="15" customHeight="1" x14ac:dyDescent="0.25">
      <c r="A19" s="149" t="s">
        <v>67</v>
      </c>
      <c r="B19" s="150"/>
      <c r="C19" s="150"/>
      <c r="D19" s="150"/>
      <c r="E19" s="150"/>
      <c r="F19" s="43"/>
      <c r="G19" s="43"/>
      <c r="H19" s="43"/>
      <c r="I19" s="43"/>
      <c r="J19" s="43"/>
      <c r="K19" s="43"/>
      <c r="L19" s="44"/>
    </row>
    <row r="20" spans="1:12" ht="15" customHeight="1" x14ac:dyDescent="0.25">
      <c r="A20" s="168" t="s">
        <v>68</v>
      </c>
      <c r="B20" s="169"/>
      <c r="C20" s="169"/>
      <c r="D20" s="169"/>
      <c r="E20" s="169"/>
      <c r="F20" s="79">
        <f>SUM(F16:F19)</f>
        <v>0</v>
      </c>
      <c r="G20" s="79">
        <f t="shared" ref="G20:L20" si="1">SUM(G16:G19)</f>
        <v>0</v>
      </c>
      <c r="H20" s="79">
        <f t="shared" si="1"/>
        <v>0</v>
      </c>
      <c r="I20" s="79">
        <f t="shared" si="1"/>
        <v>0</v>
      </c>
      <c r="J20" s="79">
        <f t="shared" si="1"/>
        <v>0</v>
      </c>
      <c r="K20" s="79">
        <f t="shared" si="1"/>
        <v>0</v>
      </c>
      <c r="L20" s="80">
        <f t="shared" si="1"/>
        <v>0</v>
      </c>
    </row>
    <row r="21" spans="1:12" ht="15" customHeight="1" x14ac:dyDescent="0.25">
      <c r="A21" s="170" t="s">
        <v>69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2"/>
    </row>
    <row r="22" spans="1:12" ht="15" customHeight="1" x14ac:dyDescent="0.25">
      <c r="A22" s="173" t="s">
        <v>101</v>
      </c>
      <c r="B22" s="174"/>
      <c r="C22" s="174"/>
      <c r="D22" s="174"/>
      <c r="E22" s="174"/>
      <c r="F22" s="174"/>
      <c r="G22" s="174" t="s">
        <v>102</v>
      </c>
      <c r="H22" s="174"/>
      <c r="I22" s="174"/>
      <c r="J22" s="174"/>
      <c r="K22" s="174"/>
      <c r="L22" s="175"/>
    </row>
    <row r="23" spans="1:12" ht="29.25" customHeight="1" x14ac:dyDescent="0.25">
      <c r="A23" s="176" t="s">
        <v>82</v>
      </c>
      <c r="B23" s="177"/>
      <c r="C23" s="177"/>
      <c r="D23" s="177"/>
      <c r="E23" s="177"/>
      <c r="F23" s="178"/>
      <c r="G23" s="179" t="s">
        <v>83</v>
      </c>
      <c r="H23" s="177"/>
      <c r="I23" s="177"/>
      <c r="J23" s="177"/>
      <c r="K23" s="177"/>
      <c r="L23" s="180"/>
    </row>
    <row r="24" spans="1:12" ht="38.25" customHeight="1" x14ac:dyDescent="0.25">
      <c r="A24" s="183" t="s">
        <v>82</v>
      </c>
      <c r="B24" s="184"/>
      <c r="C24" s="184"/>
      <c r="D24" s="184"/>
      <c r="E24" s="184"/>
      <c r="F24" s="185"/>
      <c r="G24" s="186" t="s">
        <v>83</v>
      </c>
      <c r="H24" s="184"/>
      <c r="I24" s="184"/>
      <c r="J24" s="184"/>
      <c r="K24" s="184"/>
      <c r="L24" s="187"/>
    </row>
    <row r="25" spans="1:12" ht="15" customHeight="1" x14ac:dyDescent="0.25">
      <c r="A25" s="165" t="s">
        <v>84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9"/>
    </row>
    <row r="26" spans="1:12" ht="28.5" customHeight="1" x14ac:dyDescent="0.25">
      <c r="A26" s="161" t="s">
        <v>85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90"/>
    </row>
    <row r="27" spans="1:12" ht="16.5" customHeight="1" x14ac:dyDescent="0.25">
      <c r="A27" s="161" t="s">
        <v>86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90"/>
    </row>
    <row r="28" spans="1:12" ht="30" customHeight="1" x14ac:dyDescent="0.25">
      <c r="A28" s="161" t="s">
        <v>87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90"/>
    </row>
    <row r="29" spans="1:12" ht="28.5" customHeight="1" x14ac:dyDescent="0.25">
      <c r="A29" s="191" t="s">
        <v>70</v>
      </c>
      <c r="B29" s="192"/>
      <c r="C29" s="192"/>
      <c r="D29" s="192"/>
      <c r="E29" s="192"/>
      <c r="F29" s="75" t="s">
        <v>92</v>
      </c>
      <c r="G29" s="75" t="s">
        <v>93</v>
      </c>
      <c r="H29" s="75" t="s">
        <v>94</v>
      </c>
      <c r="I29" s="75" t="s">
        <v>95</v>
      </c>
      <c r="J29" s="75" t="s">
        <v>96</v>
      </c>
      <c r="K29" s="75" t="s">
        <v>97</v>
      </c>
      <c r="L29" s="76" t="s">
        <v>98</v>
      </c>
    </row>
    <row r="30" spans="1:12" ht="15" customHeight="1" x14ac:dyDescent="0.25">
      <c r="A30" s="168" t="s">
        <v>71</v>
      </c>
      <c r="B30" s="193"/>
      <c r="C30" s="193"/>
      <c r="D30" s="193"/>
      <c r="E30" s="193"/>
      <c r="F30" s="193"/>
      <c r="G30" s="193"/>
      <c r="H30" s="193"/>
      <c r="I30" s="169"/>
      <c r="J30" s="169"/>
      <c r="K30" s="169"/>
      <c r="L30" s="194"/>
    </row>
    <row r="31" spans="1:12" ht="15" customHeight="1" x14ac:dyDescent="0.25">
      <c r="A31" s="154" t="s">
        <v>88</v>
      </c>
      <c r="B31" s="155"/>
      <c r="C31" s="155"/>
      <c r="D31" s="155"/>
      <c r="E31" s="155"/>
      <c r="F31" s="45"/>
      <c r="G31" s="45"/>
      <c r="H31" s="45"/>
      <c r="I31" s="45"/>
      <c r="J31" s="45"/>
      <c r="K31" s="45"/>
      <c r="L31" s="46"/>
    </row>
    <row r="32" spans="1:12" ht="15" customHeight="1" x14ac:dyDescent="0.25">
      <c r="A32" s="154" t="s">
        <v>89</v>
      </c>
      <c r="B32" s="155"/>
      <c r="C32" s="155"/>
      <c r="D32" s="155"/>
      <c r="E32" s="155"/>
      <c r="F32" s="45"/>
      <c r="G32" s="45"/>
      <c r="H32" s="45"/>
      <c r="I32" s="45"/>
      <c r="J32" s="45"/>
      <c r="K32" s="45"/>
      <c r="L32" s="46"/>
    </row>
    <row r="33" spans="1:12" ht="15" customHeight="1" x14ac:dyDescent="0.25">
      <c r="A33" s="154" t="s">
        <v>90</v>
      </c>
      <c r="B33" s="155"/>
      <c r="C33" s="155"/>
      <c r="D33" s="155"/>
      <c r="E33" s="155"/>
      <c r="F33" s="43"/>
      <c r="G33" s="43"/>
      <c r="H33" s="43"/>
      <c r="I33" s="43"/>
      <c r="J33" s="43"/>
      <c r="K33" s="43"/>
      <c r="L33" s="44"/>
    </row>
    <row r="34" spans="1:12" ht="15" customHeight="1" x14ac:dyDescent="0.25">
      <c r="A34" s="181" t="s">
        <v>91</v>
      </c>
      <c r="B34" s="182"/>
      <c r="C34" s="182"/>
      <c r="D34" s="182"/>
      <c r="E34" s="182"/>
      <c r="F34" s="47"/>
      <c r="G34" s="47"/>
      <c r="H34" s="47"/>
      <c r="I34" s="47"/>
      <c r="J34" s="47"/>
      <c r="K34" s="47"/>
      <c r="L34" s="48"/>
    </row>
    <row r="35" spans="1:12" ht="15" customHeight="1" x14ac:dyDescent="0.25">
      <c r="A35" s="168" t="s">
        <v>72</v>
      </c>
      <c r="B35" s="193"/>
      <c r="C35" s="193"/>
      <c r="D35" s="193"/>
      <c r="E35" s="193"/>
      <c r="F35" s="193"/>
      <c r="G35" s="193"/>
      <c r="H35" s="193"/>
      <c r="I35" s="169"/>
      <c r="J35" s="169"/>
      <c r="K35" s="169"/>
      <c r="L35" s="194"/>
    </row>
    <row r="36" spans="1:12" ht="28.5" customHeight="1" x14ac:dyDescent="0.25">
      <c r="A36" s="154" t="s">
        <v>99</v>
      </c>
      <c r="B36" s="155"/>
      <c r="C36" s="155"/>
      <c r="D36" s="155"/>
      <c r="E36" s="155"/>
      <c r="F36" s="49"/>
      <c r="G36" s="49"/>
      <c r="H36" s="49"/>
      <c r="I36" s="49"/>
      <c r="J36" s="49"/>
      <c r="K36" s="49"/>
      <c r="L36" s="50"/>
    </row>
    <row r="37" spans="1:12" ht="27" customHeight="1" x14ac:dyDescent="0.25">
      <c r="A37" s="154" t="s">
        <v>99</v>
      </c>
      <c r="B37" s="155"/>
      <c r="C37" s="155"/>
      <c r="D37" s="155"/>
      <c r="E37" s="155"/>
      <c r="F37" s="49"/>
      <c r="G37" s="49"/>
      <c r="H37" s="49"/>
      <c r="I37" s="49"/>
      <c r="J37" s="49"/>
      <c r="K37" s="49"/>
      <c r="L37" s="50"/>
    </row>
    <row r="38" spans="1:12" ht="26.25" customHeight="1" x14ac:dyDescent="0.25">
      <c r="A38" s="154" t="s">
        <v>99</v>
      </c>
      <c r="B38" s="155"/>
      <c r="C38" s="155"/>
      <c r="D38" s="155"/>
      <c r="E38" s="155"/>
      <c r="F38" s="51"/>
      <c r="G38" s="51"/>
      <c r="H38" s="51"/>
      <c r="I38" s="51"/>
      <c r="J38" s="51"/>
      <c r="K38" s="51"/>
      <c r="L38" s="52"/>
    </row>
    <row r="39" spans="1:12" ht="48" customHeight="1" thickBot="1" x14ac:dyDescent="0.3">
      <c r="A39" s="195" t="s">
        <v>99</v>
      </c>
      <c r="B39" s="196"/>
      <c r="C39" s="196"/>
      <c r="D39" s="196"/>
      <c r="E39" s="196"/>
      <c r="F39" s="53"/>
      <c r="G39" s="53"/>
      <c r="H39" s="53"/>
      <c r="I39" s="54"/>
      <c r="J39" s="54"/>
      <c r="K39" s="54"/>
      <c r="L39" s="55"/>
    </row>
  </sheetData>
  <sheetProtection algorithmName="SHA-512" hashValue="dAssErdTnuA1n3Ka9jJrWDb3A3iXooXF8/hiWn86L6pFPQnkV2PF5hDXglibqW6PfQN0N0smqDS6xVb44gf5tQ==" saltValue="ZsLDkFA870Vk3/iDrlybhg==" spinCount="100000" sheet="1" formatCells="0" formatColumns="0" formatRows="0" insertColumns="0" insertRows="0" insertHyperlinks="0" deleteColumns="0" deleteRows="0" autoFilter="0" pivotTables="0"/>
  <mergeCells count="41">
    <mergeCell ref="A35:L35"/>
    <mergeCell ref="A36:E36"/>
    <mergeCell ref="A37:E37"/>
    <mergeCell ref="A38:E38"/>
    <mergeCell ref="A39:E39"/>
    <mergeCell ref="A34:E34"/>
    <mergeCell ref="A24:F24"/>
    <mergeCell ref="G24:L24"/>
    <mergeCell ref="A25:L25"/>
    <mergeCell ref="A26:L26"/>
    <mergeCell ref="A27:L27"/>
    <mergeCell ref="A28:L28"/>
    <mergeCell ref="A29:E29"/>
    <mergeCell ref="A30:L30"/>
    <mergeCell ref="A31:E31"/>
    <mergeCell ref="A32:E32"/>
    <mergeCell ref="A33:E33"/>
    <mergeCell ref="A20:E20"/>
    <mergeCell ref="A21:L21"/>
    <mergeCell ref="A22:F22"/>
    <mergeCell ref="G22:L22"/>
    <mergeCell ref="A23:F23"/>
    <mergeCell ref="G23:L23"/>
    <mergeCell ref="A19:E19"/>
    <mergeCell ref="A8:L8"/>
    <mergeCell ref="A9:L9"/>
    <mergeCell ref="A10:L10"/>
    <mergeCell ref="B11:E11"/>
    <mergeCell ref="A12:E12"/>
    <mergeCell ref="A13:E13"/>
    <mergeCell ref="A14:E14"/>
    <mergeCell ref="A15:L15"/>
    <mergeCell ref="A16:E16"/>
    <mergeCell ref="A17:E17"/>
    <mergeCell ref="A18:E18"/>
    <mergeCell ref="A7:L7"/>
    <mergeCell ref="A1:L1"/>
    <mergeCell ref="A2:L2"/>
    <mergeCell ref="A3:L3"/>
    <mergeCell ref="A5:L5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Statutory Body Budget</vt:lpstr>
      <vt:lpstr>Statutory Body HR</vt:lpstr>
      <vt:lpstr>Statutory Body KPI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</dc:creator>
  <cp:lastModifiedBy>Marisa Harding Hodge</cp:lastModifiedBy>
  <cp:lastPrinted>2020-11-11T14:03:57Z</cp:lastPrinted>
  <dcterms:created xsi:type="dcterms:W3CDTF">2020-08-17T12:56:08Z</dcterms:created>
  <dcterms:modified xsi:type="dcterms:W3CDTF">2021-02-12T18:05:57Z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